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9402020\share-folder\020_市民部\020030_税務課\040国民健康保険税係\広報・ホームページ・納税おおかわ・暮らしの便利帳\ホームページ\R7年度\"/>
    </mc:Choice>
  </mc:AlternateContent>
  <bookViews>
    <workbookView xWindow="0" yWindow="0" windowWidth="19200" windowHeight="11370"/>
  </bookViews>
  <sheets>
    <sheet name="試算表" sheetId="4" r:id="rId1"/>
    <sheet name="計算機" sheetId="1" state="hidden" r:id="rId2"/>
    <sheet name="税率" sheetId="3" state="hidden" r:id="rId3"/>
  </sheets>
  <definedNames>
    <definedName name="_xlnm.Print_Area" localSheetId="1">計算機!$A$1:$F$37</definedName>
    <definedName name="加入区分１">税率!$W$6:$W$10</definedName>
    <definedName name="年度">税率!$B$2:$B$15</definedName>
    <definedName name="年齢区分">税率!$W$2:$W$5</definedName>
  </definedNames>
  <calcPr calcId="162913"/>
</workbook>
</file>

<file path=xl/calcChain.xml><?xml version="1.0" encoding="utf-8"?>
<calcChain xmlns="http://schemas.openxmlformats.org/spreadsheetml/2006/main">
  <c r="Q5" i="4" l="1"/>
  <c r="R5" i="4" s="1"/>
  <c r="Q6" i="4"/>
  <c r="R6" i="4" s="1"/>
  <c r="Q7" i="4"/>
  <c r="R7" i="4" s="1"/>
  <c r="Q4" i="4"/>
  <c r="R4" i="4" s="1"/>
  <c r="Q3" i="4"/>
  <c r="R3" i="4" l="1"/>
  <c r="R8" i="4" s="1"/>
  <c r="G8" i="1"/>
  <c r="K11" i="1"/>
  <c r="K10" i="1"/>
  <c r="K9" i="1"/>
  <c r="K8" i="1"/>
  <c r="F7" i="1"/>
  <c r="O4" i="4" l="1"/>
  <c r="O5" i="4"/>
  <c r="O6" i="4"/>
  <c r="O7" i="4"/>
  <c r="O3" i="4"/>
  <c r="O8" i="4" l="1"/>
  <c r="A11" i="1"/>
  <c r="L4" i="4"/>
  <c r="M4" i="4"/>
  <c r="L5" i="4"/>
  <c r="M5" i="4"/>
  <c r="L6" i="4"/>
  <c r="M6" i="4"/>
  <c r="N6" i="4" s="1"/>
  <c r="P6" i="4" s="1"/>
  <c r="F6" i="4" s="1"/>
  <c r="I6" i="4" s="1"/>
  <c r="L7" i="4"/>
  <c r="M7" i="4"/>
  <c r="N7" i="4" s="1"/>
  <c r="P7" i="4" s="1"/>
  <c r="F7" i="4" s="1"/>
  <c r="I7" i="4" s="1"/>
  <c r="M3" i="4"/>
  <c r="L3" i="4"/>
  <c r="N3" i="4" l="1"/>
  <c r="P3" i="4" s="1"/>
  <c r="F3" i="4" s="1"/>
  <c r="A12" i="1"/>
  <c r="N5" i="4"/>
  <c r="P5" i="4" s="1"/>
  <c r="F5" i="4" s="1"/>
  <c r="B6" i="1"/>
  <c r="N4" i="4"/>
  <c r="P4" i="4" s="1"/>
  <c r="F4" i="4" s="1"/>
  <c r="G9" i="1"/>
  <c r="G10" i="1"/>
  <c r="G5" i="4" s="1"/>
  <c r="G11" i="1"/>
  <c r="G12" i="1"/>
  <c r="B1" i="1"/>
  <c r="K21" i="1"/>
  <c r="J37" i="1"/>
  <c r="J29" i="1"/>
  <c r="F3" i="1" l="1"/>
  <c r="B5" i="1"/>
  <c r="B4" i="1"/>
  <c r="F2" i="1"/>
  <c r="B3" i="1"/>
  <c r="F5" i="1"/>
  <c r="D3" i="1"/>
  <c r="D4" i="1"/>
  <c r="F4" i="1"/>
  <c r="D5" i="1"/>
  <c r="D2" i="1"/>
  <c r="I3" i="4"/>
  <c r="A8" i="1"/>
  <c r="B8" i="1" s="1"/>
  <c r="C8" i="1" s="1"/>
  <c r="L8" i="4"/>
  <c r="I5" i="4"/>
  <c r="A10" i="1"/>
  <c r="B10" i="1" s="1"/>
  <c r="C10" i="1" s="1"/>
  <c r="I4" i="4"/>
  <c r="A9" i="1"/>
  <c r="B9" i="1" s="1"/>
  <c r="C9" i="1" s="1"/>
  <c r="D20" i="1"/>
  <c r="D28" i="1" s="1"/>
  <c r="C12" i="1"/>
  <c r="L12" i="1" s="1"/>
  <c r="D12" i="1" s="1"/>
  <c r="I10" i="1"/>
  <c r="D34" i="1"/>
  <c r="B12" i="1"/>
  <c r="D36" i="1"/>
  <c r="A36" i="1" s="1"/>
  <c r="H10" i="1"/>
  <c r="B11" i="1"/>
  <c r="C11" i="1" s="1"/>
  <c r="L11" i="1" s="1"/>
  <c r="D11" i="1" s="1"/>
  <c r="D19" i="1"/>
  <c r="D27" i="1" s="1"/>
  <c r="D18" i="1"/>
  <c r="D26" i="1" s="1"/>
  <c r="H11" i="1"/>
  <c r="D35" i="1"/>
  <c r="A35" i="1" s="1"/>
  <c r="I11" i="1"/>
  <c r="H12" i="1"/>
  <c r="G6" i="4"/>
  <c r="G7" i="4"/>
  <c r="I12" i="1"/>
  <c r="G4" i="4"/>
  <c r="D33" i="1"/>
  <c r="H9" i="1"/>
  <c r="I9" i="1"/>
  <c r="D17" i="1"/>
  <c r="D25" i="1" s="1"/>
  <c r="G3" i="4"/>
  <c r="D16" i="1"/>
  <c r="D24" i="1" s="1"/>
  <c r="D32" i="1"/>
  <c r="H8" i="1"/>
  <c r="I8" i="1"/>
  <c r="B2" i="1"/>
  <c r="B20" i="1" l="1"/>
  <c r="A13" i="1"/>
  <c r="A28" i="1"/>
  <c r="A27" i="1"/>
  <c r="A20" i="1"/>
  <c r="A19" i="1"/>
  <c r="L10" i="1"/>
  <c r="D10" i="1" s="1"/>
  <c r="A34" i="1" s="1"/>
  <c r="L9" i="1"/>
  <c r="D9" i="1" s="1"/>
  <c r="A33" i="1" s="1"/>
  <c r="G12" i="4"/>
  <c r="B34" i="1"/>
  <c r="B36" i="1"/>
  <c r="I13" i="1"/>
  <c r="B13" i="1"/>
  <c r="B33" i="1"/>
  <c r="B35" i="1"/>
  <c r="B18" i="1"/>
  <c r="B16" i="1"/>
  <c r="B19" i="1"/>
  <c r="B32" i="1"/>
  <c r="H13" i="1"/>
  <c r="F1" i="1" s="1"/>
  <c r="C32" i="1" s="1"/>
  <c r="B17" i="1"/>
  <c r="B28" i="1"/>
  <c r="B25" i="1"/>
  <c r="B27" i="1"/>
  <c r="B26" i="1"/>
  <c r="B24" i="1"/>
  <c r="G14" i="4"/>
  <c r="G13" i="4"/>
  <c r="C19" i="1" l="1"/>
  <c r="D6" i="1"/>
  <c r="F6" i="1"/>
  <c r="A26" i="1"/>
  <c r="A18" i="1"/>
  <c r="A17" i="1"/>
  <c r="A25" i="1"/>
  <c r="C26" i="1"/>
  <c r="C25" i="1"/>
  <c r="C17" i="1"/>
  <c r="C16" i="1"/>
  <c r="C28" i="1"/>
  <c r="C24" i="1"/>
  <c r="C20" i="1"/>
  <c r="C27" i="1"/>
  <c r="C18" i="1"/>
  <c r="B37" i="1"/>
  <c r="C14" i="4" s="1"/>
  <c r="B21" i="1"/>
  <c r="C12" i="4" s="1"/>
  <c r="C35" i="1"/>
  <c r="C36" i="1"/>
  <c r="C33" i="1"/>
  <c r="C34" i="1"/>
  <c r="B29" i="1"/>
  <c r="C13" i="4" s="1"/>
  <c r="G15" i="1" l="1"/>
  <c r="A15" i="4" s="1"/>
  <c r="C29" i="1"/>
  <c r="D13" i="4" s="1"/>
  <c r="C21" i="1"/>
  <c r="D12" i="4" s="1"/>
  <c r="C37" i="1"/>
  <c r="F24" i="1" l="1"/>
  <c r="G16" i="1"/>
  <c r="F32" i="1"/>
  <c r="F25" i="1"/>
  <c r="D14" i="4"/>
  <c r="F33" i="1"/>
  <c r="G17" i="1"/>
  <c r="C13" i="1"/>
  <c r="L8" i="1"/>
  <c r="D8" i="1" s="1"/>
  <c r="E13" i="4" l="1"/>
  <c r="E12" i="4"/>
  <c r="E14" i="4"/>
  <c r="A24" i="1"/>
  <c r="A29" i="1" s="1"/>
  <c r="B13" i="4" s="1"/>
  <c r="A16" i="1"/>
  <c r="A21" i="1" s="1"/>
  <c r="D21" i="1" s="1"/>
  <c r="G21" i="1" s="1"/>
  <c r="A32" i="1"/>
  <c r="A37" i="1" s="1"/>
  <c r="D37" i="1" s="1"/>
  <c r="F37" i="1" s="1"/>
  <c r="D13" i="1"/>
  <c r="F14" i="4" l="1"/>
  <c r="F12" i="4"/>
  <c r="E29" i="1"/>
  <c r="D29" i="1"/>
  <c r="F29" i="1" s="1"/>
  <c r="F13" i="4" s="1"/>
  <c r="B14" i="4"/>
  <c r="F21" i="1"/>
  <c r="E37" i="1"/>
  <c r="B12" i="4"/>
  <c r="H21" i="1"/>
  <c r="G37" i="1"/>
  <c r="J17" i="4" l="1"/>
  <c r="J18" i="4" s="1"/>
  <c r="G29" i="1"/>
</calcChain>
</file>

<file path=xl/comments1.xml><?xml version="1.0" encoding="utf-8"?>
<comments xmlns="http://schemas.openxmlformats.org/spreadsheetml/2006/main">
  <authors>
    <author>FsitNEOAdmin</author>
  </authors>
  <commentList>
    <comment ref="F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NGの場合は限度額オーバー</t>
        </r>
      </text>
    </comment>
    <comment ref="E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平成２０年度以降NGの場合は限度額オーバー</t>
        </r>
      </text>
    </comment>
    <comment ref="E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NGの場合は限度額オーバー</t>
        </r>
      </text>
    </comment>
  </commentList>
</comments>
</file>

<file path=xl/sharedStrings.xml><?xml version="1.0" encoding="utf-8"?>
<sst xmlns="http://schemas.openxmlformats.org/spreadsheetml/2006/main" count="106" uniqueCount="84">
  <si>
    <t>医療所得割額</t>
    <rPh sb="0" eb="2">
      <t>イリョウ</t>
    </rPh>
    <rPh sb="2" eb="4">
      <t>ショトク</t>
    </rPh>
    <rPh sb="4" eb="5">
      <t>ワリ</t>
    </rPh>
    <rPh sb="5" eb="6">
      <t>ガク</t>
    </rPh>
    <phoneticPr fontId="2"/>
  </si>
  <si>
    <t>医療均等割額</t>
    <rPh sb="0" eb="2">
      <t>イリョウ</t>
    </rPh>
    <rPh sb="2" eb="5">
      <t>キントウワリ</t>
    </rPh>
    <rPh sb="5" eb="6">
      <t>ガク</t>
    </rPh>
    <phoneticPr fontId="2"/>
  </si>
  <si>
    <t>医療平等割額</t>
    <rPh sb="0" eb="2">
      <t>イリョウ</t>
    </rPh>
    <rPh sb="2" eb="4">
      <t>ビョウドウ</t>
    </rPh>
    <rPh sb="4" eb="5">
      <t>ワリ</t>
    </rPh>
    <rPh sb="5" eb="6">
      <t>ガク</t>
    </rPh>
    <phoneticPr fontId="2"/>
  </si>
  <si>
    <t>介護所得割額</t>
    <rPh sb="0" eb="2">
      <t>カイゴ</t>
    </rPh>
    <rPh sb="2" eb="4">
      <t>ショトク</t>
    </rPh>
    <rPh sb="4" eb="5">
      <t>ワリ</t>
    </rPh>
    <rPh sb="5" eb="6">
      <t>ガク</t>
    </rPh>
    <phoneticPr fontId="2"/>
  </si>
  <si>
    <t>介護均等割額</t>
    <rPh sb="0" eb="2">
      <t>カイゴ</t>
    </rPh>
    <rPh sb="2" eb="5">
      <t>キントウワリ</t>
    </rPh>
    <rPh sb="5" eb="6">
      <t>ガク</t>
    </rPh>
    <phoneticPr fontId="2"/>
  </si>
  <si>
    <t>介護平等割額</t>
    <rPh sb="0" eb="2">
      <t>カイゴ</t>
    </rPh>
    <rPh sb="2" eb="4">
      <t>ビョウドウ</t>
    </rPh>
    <rPh sb="4" eb="5">
      <t>ワリ</t>
    </rPh>
    <rPh sb="5" eb="6">
      <t>ガク</t>
    </rPh>
    <phoneticPr fontId="2"/>
  </si>
  <si>
    <t>該当年度</t>
    <rPh sb="0" eb="2">
      <t>ガイトウ</t>
    </rPh>
    <rPh sb="2" eb="4">
      <t>ネンド</t>
    </rPh>
    <phoneticPr fontId="2"/>
  </si>
  <si>
    <t>医療給付分</t>
    <rPh sb="0" eb="2">
      <t>イリョウ</t>
    </rPh>
    <rPh sb="2" eb="4">
      <t>キュウフ</t>
    </rPh>
    <rPh sb="4" eb="5">
      <t>ブン</t>
    </rPh>
    <phoneticPr fontId="2"/>
  </si>
  <si>
    <t>後期高齢者支援分</t>
    <rPh sb="0" eb="2">
      <t>コウキ</t>
    </rPh>
    <rPh sb="2" eb="5">
      <t>コウレイシャ</t>
    </rPh>
    <rPh sb="5" eb="7">
      <t>シエン</t>
    </rPh>
    <rPh sb="7" eb="8">
      <t>ブン</t>
    </rPh>
    <phoneticPr fontId="2"/>
  </si>
  <si>
    <t>介護給付金分</t>
    <rPh sb="0" eb="2">
      <t>カイゴ</t>
    </rPh>
    <rPh sb="2" eb="5">
      <t>キュウフキン</t>
    </rPh>
    <rPh sb="5" eb="6">
      <t>ブン</t>
    </rPh>
    <phoneticPr fontId="2"/>
  </si>
  <si>
    <t>総所得額</t>
    <rPh sb="0" eb="4">
      <t>ソウショトクガク</t>
    </rPh>
    <phoneticPr fontId="2"/>
  </si>
  <si>
    <t>年度</t>
    <rPh sb="0" eb="2">
      <t>ネンド</t>
    </rPh>
    <phoneticPr fontId="2"/>
  </si>
  <si>
    <t>医所得</t>
    <rPh sb="0" eb="1">
      <t>イ</t>
    </rPh>
    <rPh sb="1" eb="3">
      <t>ショトク</t>
    </rPh>
    <phoneticPr fontId="2"/>
  </si>
  <si>
    <t>医均等</t>
    <rPh sb="0" eb="1">
      <t>イ</t>
    </rPh>
    <rPh sb="1" eb="3">
      <t>キントウ</t>
    </rPh>
    <phoneticPr fontId="2"/>
  </si>
  <si>
    <t>医平等</t>
    <rPh sb="0" eb="1">
      <t>イ</t>
    </rPh>
    <rPh sb="1" eb="3">
      <t>ビョウドウ</t>
    </rPh>
    <phoneticPr fontId="2"/>
  </si>
  <si>
    <t>後所得</t>
    <rPh sb="0" eb="1">
      <t>アト</t>
    </rPh>
    <rPh sb="1" eb="3">
      <t>ショトク</t>
    </rPh>
    <phoneticPr fontId="2"/>
  </si>
  <si>
    <t>後均等</t>
    <rPh sb="0" eb="1">
      <t>アト</t>
    </rPh>
    <rPh sb="1" eb="3">
      <t>キントウ</t>
    </rPh>
    <phoneticPr fontId="2"/>
  </si>
  <si>
    <t>後平等</t>
    <rPh sb="0" eb="1">
      <t>アト</t>
    </rPh>
    <rPh sb="1" eb="3">
      <t>ビョウドウ</t>
    </rPh>
    <phoneticPr fontId="2"/>
  </si>
  <si>
    <t>介所得</t>
    <rPh sb="0" eb="1">
      <t>スケ</t>
    </rPh>
    <rPh sb="1" eb="3">
      <t>ショトク</t>
    </rPh>
    <phoneticPr fontId="2"/>
  </si>
  <si>
    <t>介均等</t>
    <rPh sb="0" eb="1">
      <t>スケ</t>
    </rPh>
    <rPh sb="1" eb="3">
      <t>キントウ</t>
    </rPh>
    <phoneticPr fontId="2"/>
  </si>
  <si>
    <t>介平等</t>
    <rPh sb="0" eb="1">
      <t>スケ</t>
    </rPh>
    <rPh sb="1" eb="3">
      <t>ビョウドウ</t>
    </rPh>
    <phoneticPr fontId="2"/>
  </si>
  <si>
    <t>医限度</t>
    <rPh sb="0" eb="1">
      <t>イ</t>
    </rPh>
    <rPh sb="1" eb="3">
      <t>ゲンド</t>
    </rPh>
    <phoneticPr fontId="2"/>
  </si>
  <si>
    <t>後限度</t>
    <rPh sb="0" eb="1">
      <t>アト</t>
    </rPh>
    <rPh sb="1" eb="3">
      <t>ゲンド</t>
    </rPh>
    <phoneticPr fontId="2"/>
  </si>
  <si>
    <t>介限度</t>
    <rPh sb="0" eb="1">
      <t>スケ</t>
    </rPh>
    <rPh sb="1" eb="3">
      <t>ゲンド</t>
    </rPh>
    <phoneticPr fontId="2"/>
  </si>
  <si>
    <t>No.</t>
    <phoneticPr fontId="2"/>
  </si>
  <si>
    <t>医療利用月</t>
    <rPh sb="0" eb="2">
      <t>イリョウ</t>
    </rPh>
    <rPh sb="2" eb="4">
      <t>リヨウ</t>
    </rPh>
    <rPh sb="4" eb="5">
      <t>ツキ</t>
    </rPh>
    <phoneticPr fontId="2"/>
  </si>
  <si>
    <t>介護利用月</t>
    <rPh sb="0" eb="2">
      <t>カイゴ</t>
    </rPh>
    <rPh sb="2" eb="4">
      <t>リヨウ</t>
    </rPh>
    <rPh sb="4" eb="5">
      <t>ツキ</t>
    </rPh>
    <phoneticPr fontId="2"/>
  </si>
  <si>
    <t>医療加入月数</t>
    <rPh sb="0" eb="2">
      <t>イリョウ</t>
    </rPh>
    <rPh sb="2" eb="4">
      <t>カニュウ</t>
    </rPh>
    <rPh sb="4" eb="5">
      <t>ツキ</t>
    </rPh>
    <rPh sb="5" eb="6">
      <t>スウ</t>
    </rPh>
    <phoneticPr fontId="2"/>
  </si>
  <si>
    <t>介護加入月数</t>
    <rPh sb="0" eb="2">
      <t>カイゴ</t>
    </rPh>
    <rPh sb="2" eb="4">
      <t>カニュウ</t>
    </rPh>
    <rPh sb="4" eb="5">
      <t>ツキ</t>
    </rPh>
    <rPh sb="5" eb="6">
      <t>スウ</t>
    </rPh>
    <phoneticPr fontId="2"/>
  </si>
  <si>
    <t>軽減基準所得額</t>
    <rPh sb="0" eb="2">
      <t>ケイゲン</t>
    </rPh>
    <rPh sb="2" eb="4">
      <t>キジュン</t>
    </rPh>
    <rPh sb="4" eb="6">
      <t>ショトク</t>
    </rPh>
    <rPh sb="6" eb="7">
      <t>ガク</t>
    </rPh>
    <phoneticPr fontId="2"/>
  </si>
  <si>
    <t>基準所得額</t>
    <rPh sb="0" eb="2">
      <t>キジュン</t>
    </rPh>
    <rPh sb="2" eb="5">
      <t>ショトクガク</t>
    </rPh>
    <phoneticPr fontId="2"/>
  </si>
  <si>
    <t>計</t>
    <rPh sb="0" eb="1">
      <t>ケイ</t>
    </rPh>
    <phoneticPr fontId="2"/>
  </si>
  <si>
    <t>月数</t>
    <rPh sb="0" eb="2">
      <t>ツキスウ</t>
    </rPh>
    <phoneticPr fontId="2"/>
  </si>
  <si>
    <t>世帯主</t>
    <rPh sb="0" eb="3">
      <t>セタイヌシ</t>
    </rPh>
    <phoneticPr fontId="2"/>
  </si>
  <si>
    <t>世帯員1</t>
    <rPh sb="0" eb="3">
      <t>セタイイン</t>
    </rPh>
    <phoneticPr fontId="2"/>
  </si>
  <si>
    <t>世帯員2</t>
    <rPh sb="0" eb="3">
      <t>セタイイン</t>
    </rPh>
    <phoneticPr fontId="2"/>
  </si>
  <si>
    <t>世帯員3</t>
    <rPh sb="0" eb="3">
      <t>セタイイン</t>
    </rPh>
    <phoneticPr fontId="2"/>
  </si>
  <si>
    <t>世帯員4</t>
    <rPh sb="0" eb="3">
      <t>セタイイン</t>
    </rPh>
    <phoneticPr fontId="2"/>
  </si>
  <si>
    <t>（端数又は限度超過額）</t>
    <rPh sb="1" eb="3">
      <t>ハスウ</t>
    </rPh>
    <rPh sb="3" eb="4">
      <t>マタ</t>
    </rPh>
    <rPh sb="5" eb="7">
      <t>ゲンド</t>
    </rPh>
    <rPh sb="7" eb="10">
      <t>チョウカガク</t>
    </rPh>
    <phoneticPr fontId="2"/>
  </si>
  <si>
    <t>支援所得割額</t>
    <rPh sb="0" eb="2">
      <t>シエン</t>
    </rPh>
    <rPh sb="2" eb="4">
      <t>ショトク</t>
    </rPh>
    <rPh sb="4" eb="5">
      <t>ワリ</t>
    </rPh>
    <rPh sb="5" eb="6">
      <t>ガク</t>
    </rPh>
    <phoneticPr fontId="2"/>
  </si>
  <si>
    <t>支援均等割額</t>
    <rPh sb="0" eb="2">
      <t>シエン</t>
    </rPh>
    <rPh sb="2" eb="5">
      <t>キントウワリ</t>
    </rPh>
    <rPh sb="5" eb="6">
      <t>ガク</t>
    </rPh>
    <phoneticPr fontId="2"/>
  </si>
  <si>
    <t>支援平等割額</t>
    <rPh sb="0" eb="2">
      <t>シエン</t>
    </rPh>
    <rPh sb="2" eb="4">
      <t>ビョウドウ</t>
    </rPh>
    <rPh sb="4" eb="5">
      <t>ワリ</t>
    </rPh>
    <rPh sb="5" eb="6">
      <t>ガク</t>
    </rPh>
    <phoneticPr fontId="2"/>
  </si>
  <si>
    <t>支援加入月数</t>
    <rPh sb="0" eb="2">
      <t>シエン</t>
    </rPh>
    <rPh sb="2" eb="4">
      <t>カニュウ</t>
    </rPh>
    <rPh sb="4" eb="5">
      <t>ツキ</t>
    </rPh>
    <rPh sb="5" eb="6">
      <t>スウ</t>
    </rPh>
    <phoneticPr fontId="2"/>
  </si>
  <si>
    <t>年齢</t>
    <rPh sb="0" eb="2">
      <t>ネンレイ</t>
    </rPh>
    <phoneticPr fontId="2"/>
  </si>
  <si>
    <t>加入しない</t>
    <rPh sb="0" eb="2">
      <t>カニュウ</t>
    </rPh>
    <phoneticPr fontId="2"/>
  </si>
  <si>
    <t>0才～39才</t>
    <rPh sb="1" eb="2">
      <t>サイ</t>
    </rPh>
    <rPh sb="5" eb="6">
      <t>サイ</t>
    </rPh>
    <phoneticPr fontId="2"/>
  </si>
  <si>
    <t>40才～64才</t>
    <rPh sb="2" eb="3">
      <t>サイ</t>
    </rPh>
    <rPh sb="6" eb="7">
      <t>サイ</t>
    </rPh>
    <phoneticPr fontId="2"/>
  </si>
  <si>
    <t>65才～74才</t>
    <rPh sb="2" eb="3">
      <t>サイ</t>
    </rPh>
    <rPh sb="6" eb="7">
      <t>サイ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</si>
  <si>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</si>
  <si>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</si>
  <si>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ワリ</t>
    </rPh>
    <phoneticPr fontId="2"/>
  </si>
  <si>
    <t>医療分</t>
    <rPh sb="0" eb="2">
      <t>イリョウ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</si>
  <si>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</si>
  <si>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軽減額</t>
    <rPh sb="0" eb="2">
      <t>ケイゲン</t>
    </rPh>
    <rPh sb="2" eb="3">
      <t>ガク</t>
    </rPh>
    <phoneticPr fontId="2"/>
  </si>
  <si>
    <t>後期分</t>
    <rPh sb="0" eb="2">
      <t>コウキ</t>
    </rPh>
    <rPh sb="2" eb="3">
      <t>ブン</t>
    </rPh>
    <phoneticPr fontId="2"/>
  </si>
  <si>
    <t>限度額</t>
    <rPh sb="0" eb="2">
      <t>ゲンド</t>
    </rPh>
    <rPh sb="2" eb="3">
      <t>ガク</t>
    </rPh>
    <phoneticPr fontId="2"/>
  </si>
  <si>
    <t>1年間の保険税額</t>
    <rPh sb="1" eb="3">
      <t>ネンカン</t>
    </rPh>
    <rPh sb="4" eb="6">
      <t>ホケン</t>
    </rPh>
    <rPh sb="6" eb="8">
      <t>ゼイガク</t>
    </rPh>
    <phoneticPr fontId="2"/>
  </si>
  <si>
    <t>年齢・加入区分</t>
    <rPh sb="0" eb="2">
      <t>ネンレイ</t>
    </rPh>
    <rPh sb="3" eb="5">
      <t>カニュウ</t>
    </rPh>
    <rPh sb="5" eb="7">
      <t>クブン</t>
    </rPh>
    <phoneticPr fontId="2"/>
  </si>
  <si>
    <t>１か月の保険税額</t>
    <rPh sb="2" eb="3">
      <t>ゲツ</t>
    </rPh>
    <rPh sb="4" eb="6">
      <t>ホケン</t>
    </rPh>
    <rPh sb="6" eb="8">
      <t>ゼイガク</t>
    </rPh>
    <phoneticPr fontId="2"/>
  </si>
  <si>
    <t>備考</t>
    <rPh sb="0" eb="2">
      <t>ビコウ</t>
    </rPh>
    <phoneticPr fontId="2"/>
  </si>
  <si>
    <t>※一定所得以下の世帯の場合は、軽減措置に該当することがあります。</t>
    <rPh sb="1" eb="3">
      <t>イッテイ</t>
    </rPh>
    <rPh sb="3" eb="5">
      <t>ショトク</t>
    </rPh>
    <rPh sb="5" eb="7">
      <t>イカ</t>
    </rPh>
    <rPh sb="8" eb="10">
      <t>セタイ</t>
    </rPh>
    <rPh sb="11" eb="13">
      <t>バアイ</t>
    </rPh>
    <rPh sb="15" eb="17">
      <t>ケイゲン</t>
    </rPh>
    <rPh sb="17" eb="19">
      <t>ソチ</t>
    </rPh>
    <rPh sb="20" eb="22">
      <t>ガイトウ</t>
    </rPh>
    <phoneticPr fontId="2"/>
  </si>
  <si>
    <t>←年度ごとに修正</t>
    <rPh sb="1" eb="3">
      <t>ネンド</t>
    </rPh>
    <rPh sb="6" eb="8">
      <t>シュウセイ</t>
    </rPh>
    <phoneticPr fontId="2"/>
  </si>
  <si>
    <t>7割</t>
    <rPh sb="1" eb="2">
      <t>ワリ</t>
    </rPh>
    <phoneticPr fontId="2"/>
  </si>
  <si>
    <t>5割</t>
    <rPh sb="1" eb="2">
      <t>ワリ</t>
    </rPh>
    <phoneticPr fontId="2"/>
  </si>
  <si>
    <t>2割</t>
    <rPh sb="1" eb="2">
      <t>ワリ</t>
    </rPh>
    <phoneticPr fontId="2"/>
  </si>
  <si>
    <t>国民健康保険税額試算表</t>
    <phoneticPr fontId="2"/>
  </si>
  <si>
    <t>給与所得</t>
    <rPh sb="0" eb="2">
      <t>キュウヨ</t>
    </rPh>
    <rPh sb="2" eb="4">
      <t>ショトク</t>
    </rPh>
    <phoneticPr fontId="2"/>
  </si>
  <si>
    <t>公的年金所得</t>
    <rPh sb="0" eb="2">
      <t>コウテキ</t>
    </rPh>
    <rPh sb="2" eb="4">
      <t>ネンキン</t>
    </rPh>
    <rPh sb="4" eb="6">
      <t>ショトク</t>
    </rPh>
    <phoneticPr fontId="2"/>
  </si>
  <si>
    <t>その他所得</t>
    <rPh sb="2" eb="3">
      <t>タ</t>
    </rPh>
    <rPh sb="3" eb="5">
      <t>ショトク</t>
    </rPh>
    <phoneticPr fontId="2"/>
  </si>
  <si>
    <t>基礎控除</t>
    <rPh sb="0" eb="2">
      <t>キソ</t>
    </rPh>
    <rPh sb="2" eb="4">
      <t>コウジョ</t>
    </rPh>
    <phoneticPr fontId="2"/>
  </si>
  <si>
    <t>基礎控除１</t>
    <rPh sb="0" eb="2">
      <t>キソ</t>
    </rPh>
    <rPh sb="2" eb="4">
      <t>コウジョ</t>
    </rPh>
    <phoneticPr fontId="2"/>
  </si>
  <si>
    <t>基礎控除２</t>
    <rPh sb="0" eb="2">
      <t>キソ</t>
    </rPh>
    <rPh sb="2" eb="4">
      <t>コウジョ</t>
    </rPh>
    <phoneticPr fontId="2"/>
  </si>
  <si>
    <t>基礎控除３</t>
    <rPh sb="0" eb="2">
      <t>キソ</t>
    </rPh>
    <rPh sb="2" eb="4">
      <t>コウジョ</t>
    </rPh>
    <phoneticPr fontId="2"/>
  </si>
  <si>
    <t>基礎控除４</t>
    <rPh sb="0" eb="2">
      <t>キソ</t>
    </rPh>
    <rPh sb="2" eb="4">
      <t>コウジョ</t>
    </rPh>
    <phoneticPr fontId="2"/>
  </si>
  <si>
    <t>基礎控除後</t>
    <rPh sb="0" eb="2">
      <t>キソ</t>
    </rPh>
    <rPh sb="2" eb="4">
      <t>コウジョ</t>
    </rPh>
    <rPh sb="4" eb="5">
      <t>ゴ</t>
    </rPh>
    <phoneticPr fontId="2"/>
  </si>
  <si>
    <t>加入しない65歳未満</t>
    <rPh sb="0" eb="2">
      <t>カニュウ</t>
    </rPh>
    <rPh sb="7" eb="8">
      <t>サイ</t>
    </rPh>
    <rPh sb="8" eb="10">
      <t>ミマン</t>
    </rPh>
    <phoneticPr fontId="2"/>
  </si>
  <si>
    <t>加入しない65歳以上</t>
    <rPh sb="0" eb="2">
      <t>カニュウ</t>
    </rPh>
    <rPh sb="7" eb="8">
      <t>サイ</t>
    </rPh>
    <rPh sb="8" eb="10">
      <t>イジョウ</t>
    </rPh>
    <phoneticPr fontId="2"/>
  </si>
  <si>
    <t>給与所得者等の数</t>
    <rPh sb="0" eb="2">
      <t>キュウヨ</t>
    </rPh>
    <rPh sb="2" eb="4">
      <t>ショトク</t>
    </rPh>
    <rPh sb="4" eb="5">
      <t>シャ</t>
    </rPh>
    <rPh sb="5" eb="6">
      <t>ナド</t>
    </rPh>
    <rPh sb="7" eb="8">
      <t>カズ</t>
    </rPh>
    <phoneticPr fontId="2"/>
  </si>
  <si>
    <t>調整後の給与所得</t>
    <rPh sb="0" eb="3">
      <t>チョウセイゴ</t>
    </rPh>
    <rPh sb="4" eb="6">
      <t>キュウヨ</t>
    </rPh>
    <rPh sb="6" eb="8">
      <t>ショトク</t>
    </rPh>
    <phoneticPr fontId="2"/>
  </si>
  <si>
    <t>給与上限</t>
    <rPh sb="0" eb="2">
      <t>キュウヨ</t>
    </rPh>
    <rPh sb="2" eb="4">
      <t>ジョウゲン</t>
    </rPh>
    <phoneticPr fontId="2"/>
  </si>
  <si>
    <t>年金上限</t>
    <rPh sb="0" eb="2">
      <t>ネンキン</t>
    </rPh>
    <rPh sb="2" eb="4">
      <t>ジョウゲン</t>
    </rPh>
    <phoneticPr fontId="2"/>
  </si>
  <si>
    <t>調整控除額</t>
    <rPh sb="0" eb="2">
      <t>チョウセイ</t>
    </rPh>
    <rPh sb="2" eb="4">
      <t>コウジョ</t>
    </rPh>
    <rPh sb="4" eb="5">
      <t>ガク</t>
    </rPh>
    <phoneticPr fontId="2"/>
  </si>
  <si>
    <t>軽減判定時の年金所得</t>
    <rPh sb="0" eb="2">
      <t>ケイゲン</t>
    </rPh>
    <rPh sb="2" eb="4">
      <t>ハンテイ</t>
    </rPh>
    <rPh sb="4" eb="5">
      <t>ジ</t>
    </rPh>
    <rPh sb="6" eb="8">
      <t>ネンキン</t>
    </rPh>
    <rPh sb="8" eb="10">
      <t>ショトク</t>
    </rPh>
    <phoneticPr fontId="2"/>
  </si>
  <si>
    <t>総所得金額等</t>
    <rPh sb="0" eb="3">
      <t>ソウショトク</t>
    </rPh>
    <rPh sb="3" eb="5">
      <t>キンガク</t>
    </rPh>
    <rPh sb="5" eb="6">
      <t>ナド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</si>
</sst>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,000&quot;円&quot;"/>
    <numFmt numFmtId="177" formatCode="0.0%"/>
    <numFmt numFmtId="178" formatCode="#,###&quot;円&quot;"/>
    <numFmt numFmtId="179" formatCode="#,##0&quot;円&quot;"/>
    <numFmt numFmtId="180" formatCode="0&quot;ヶ月&quot;"/>
    <numFmt numFmtId="181" formatCode="[$-411]ggge&quot;年&quot;m&quot;月&quot;d&quot;日&quot;;@"/>
    <numFmt numFmtId="182" formatCode="&quot;平成&quot;###&quot;年度&quot;"/>
    <numFmt numFmtId="183" formatCode="#,##0.00&quot;円&quot;"/>
    <numFmt numFmtId="184" formatCode="&quot;約&quot;#,##0&quot;円&quot;"/>
    <numFmt numFmtId="185" formatCode="&quot;あなたの世帯の均等割及び平等割は、&quot;#&quot;割軽減で計算しています。&quot;"/>
    <numFmt numFmtId="186" formatCode="&quot;令和&quot;###&quot;年度&quot;"/>
    <numFmt numFmtId="187" formatCode="[DBNum3]&quot;平成&quot;#&quot;年度&quot;"/>
    <numFmt numFmtId="188" formatCode="#,###"/>
    <numFmt numFmtId="189" formatCode="&quot;令&quot;&quot;和&quot;0&quot;年度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5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7" fontId="6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182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vertical="center" shrinkToFit="1"/>
    </xf>
    <xf numFmtId="179" fontId="6" fillId="0" borderId="1" xfId="0" applyNumberFormat="1" applyFont="1" applyBorder="1">
      <alignment vertical="center"/>
    </xf>
    <xf numFmtId="180" fontId="6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83" fontId="7" fillId="0" borderId="0" xfId="0" applyNumberFormat="1" applyFont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/>
    </xf>
    <xf numFmtId="177" fontId="6" fillId="0" borderId="1" xfId="0" applyNumberFormat="1" applyFont="1" applyBorder="1">
      <alignment vertical="center"/>
    </xf>
    <xf numFmtId="179" fontId="9" fillId="0" borderId="0" xfId="0" applyNumberFormat="1" applyFont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177" fontId="0" fillId="0" borderId="1" xfId="0" applyNumberFormat="1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179" fontId="0" fillId="0" borderId="1" xfId="0" applyNumberFormat="1" applyFont="1" applyFill="1" applyBorder="1" applyAlignment="1">
      <alignment vertical="center" shrinkToFit="1"/>
    </xf>
    <xf numFmtId="176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vertical="center" shrinkToFit="1"/>
    </xf>
    <xf numFmtId="179" fontId="0" fillId="0" borderId="1" xfId="0" applyNumberFormat="1" applyFont="1" applyBorder="1" applyAlignment="1">
      <alignment vertical="center" shrinkToFit="1"/>
    </xf>
    <xf numFmtId="180" fontId="0" fillId="0" borderId="1" xfId="0" applyNumberFormat="1" applyFont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179" fontId="0" fillId="0" borderId="0" xfId="0" applyNumberFormat="1" applyFont="1" applyFill="1" applyAlignment="1">
      <alignment vertical="center" shrinkToFit="1"/>
    </xf>
    <xf numFmtId="183" fontId="0" fillId="0" borderId="1" xfId="0" applyNumberFormat="1" applyFont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18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NumberFormat="1" applyFont="1" applyFill="1" applyAlignment="1">
      <alignment vertical="center" shrinkToFit="1"/>
    </xf>
    <xf numFmtId="0" fontId="10" fillId="0" borderId="0" xfId="0" applyNumberFormat="1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0" fillId="0" borderId="3" xfId="0" applyFont="1" applyBorder="1" applyAlignment="1">
      <alignment horizontal="center" vertical="center"/>
    </xf>
    <xf numFmtId="179" fontId="0" fillId="0" borderId="3" xfId="0" applyNumberFormat="1" applyFont="1" applyBorder="1" applyAlignment="1">
      <alignment vertical="center"/>
    </xf>
    <xf numFmtId="179" fontId="3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84" fontId="3" fillId="0" borderId="4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vertical="center" shrinkToFit="1"/>
    </xf>
    <xf numFmtId="179" fontId="0" fillId="0" borderId="1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182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>
      <alignment vertical="center"/>
    </xf>
    <xf numFmtId="179" fontId="6" fillId="0" borderId="1" xfId="0" applyNumberFormat="1" applyFont="1" applyFill="1" applyBorder="1">
      <alignment vertical="center"/>
    </xf>
    <xf numFmtId="180" fontId="6" fillId="0" borderId="1" xfId="0" applyNumberFormat="1" applyFont="1" applyFill="1" applyBorder="1">
      <alignment vertical="center"/>
    </xf>
    <xf numFmtId="186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0" fontId="6" fillId="3" borderId="1" xfId="0" applyFont="1" applyFill="1" applyBorder="1">
      <alignment vertical="center"/>
    </xf>
    <xf numFmtId="182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>
      <alignment vertical="center"/>
    </xf>
    <xf numFmtId="179" fontId="6" fillId="3" borderId="1" xfId="0" applyNumberFormat="1" applyFont="1" applyFill="1" applyBorder="1">
      <alignment vertical="center"/>
    </xf>
    <xf numFmtId="180" fontId="6" fillId="3" borderId="1" xfId="0" applyNumberFormat="1" applyFont="1" applyFill="1" applyBorder="1">
      <alignment vertical="center"/>
    </xf>
    <xf numFmtId="178" fontId="0" fillId="0" borderId="5" xfId="0" applyNumberFormat="1" applyBorder="1" applyAlignment="1">
      <alignment horizontal="center" vertical="center"/>
    </xf>
    <xf numFmtId="10" fontId="6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78" fontId="0" fillId="0" borderId="1" xfId="0" applyNumberFormat="1" applyFont="1" applyBorder="1" applyAlignment="1">
      <alignment horizontal="right" vertical="center" shrinkToFit="1"/>
    </xf>
    <xf numFmtId="178" fontId="0" fillId="0" borderId="1" xfId="0" applyNumberFormat="1" applyFont="1" applyFill="1" applyBorder="1" applyAlignment="1">
      <alignment horizontal="right" vertical="center" shrinkToFit="1"/>
    </xf>
    <xf numFmtId="179" fontId="0" fillId="0" borderId="1" xfId="0" applyNumberFormat="1" applyFont="1" applyFill="1" applyBorder="1" applyAlignment="1">
      <alignment horizontal="right" vertical="center" shrinkToFit="1"/>
    </xf>
    <xf numFmtId="179" fontId="0" fillId="0" borderId="0" xfId="0" applyNumberFormat="1" applyAlignment="1">
      <alignment horizontal="center" vertical="center"/>
    </xf>
    <xf numFmtId="179" fontId="0" fillId="2" borderId="11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 shrinkToFit="1"/>
    </xf>
    <xf numFmtId="180" fontId="0" fillId="0" borderId="3" xfId="0" applyNumberFormat="1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179" fontId="0" fillId="0" borderId="1" xfId="0" applyNumberFormat="1" applyFont="1" applyBorder="1" applyAlignment="1">
      <alignment vertical="center" wrapText="1"/>
    </xf>
    <xf numFmtId="186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>
      <alignment vertical="center"/>
    </xf>
    <xf numFmtId="181" fontId="0" fillId="0" borderId="17" xfId="0" applyNumberFormat="1" applyBorder="1" applyAlignment="1" applyProtection="1">
      <alignment horizontal="center" vertical="center"/>
      <protection locked="0"/>
    </xf>
    <xf numFmtId="179" fontId="0" fillId="2" borderId="9" xfId="1" applyNumberFormat="1" applyFont="1" applyFill="1" applyBorder="1" applyAlignment="1" applyProtection="1">
      <alignment vertical="center"/>
      <protection locked="0"/>
    </xf>
    <xf numFmtId="179" fontId="0" fillId="2" borderId="14" xfId="1" applyNumberFormat="1" applyFont="1" applyFill="1" applyBorder="1" applyAlignment="1" applyProtection="1">
      <alignment vertical="center"/>
      <protection locked="0"/>
    </xf>
    <xf numFmtId="179" fontId="0" fillId="2" borderId="10" xfId="1" applyNumberFormat="1" applyFont="1" applyFill="1" applyBorder="1" applyAlignment="1" applyProtection="1">
      <alignment vertical="center"/>
      <protection locked="0"/>
    </xf>
    <xf numFmtId="181" fontId="0" fillId="0" borderId="18" xfId="0" applyNumberFormat="1" applyBorder="1" applyAlignment="1" applyProtection="1">
      <alignment horizontal="center" vertical="center"/>
      <protection locked="0"/>
    </xf>
    <xf numFmtId="179" fontId="0" fillId="2" borderId="11" xfId="1" applyNumberFormat="1" applyFont="1" applyFill="1" applyBorder="1" applyAlignment="1" applyProtection="1">
      <alignment vertical="center"/>
      <protection locked="0"/>
    </xf>
    <xf numFmtId="179" fontId="0" fillId="2" borderId="1" xfId="1" applyNumberFormat="1" applyFont="1" applyFill="1" applyBorder="1" applyAlignment="1" applyProtection="1">
      <alignment vertical="center"/>
      <protection locked="0"/>
    </xf>
    <xf numFmtId="179" fontId="0" fillId="2" borderId="20" xfId="1" applyNumberFormat="1" applyFont="1" applyFill="1" applyBorder="1" applyAlignment="1" applyProtection="1">
      <alignment vertical="center"/>
      <protection locked="0"/>
    </xf>
    <xf numFmtId="181" fontId="0" fillId="0" borderId="19" xfId="0" applyNumberFormat="1" applyBorder="1" applyAlignment="1" applyProtection="1">
      <alignment horizontal="center" vertical="center"/>
      <protection locked="0"/>
    </xf>
    <xf numFmtId="179" fontId="0" fillId="2" borderId="12" xfId="1" applyNumberFormat="1" applyFont="1" applyFill="1" applyBorder="1" applyAlignment="1" applyProtection="1">
      <alignment vertical="center"/>
      <protection locked="0"/>
    </xf>
    <xf numFmtId="179" fontId="0" fillId="2" borderId="6" xfId="1" applyNumberFormat="1" applyFont="1" applyFill="1" applyBorder="1" applyAlignment="1" applyProtection="1">
      <alignment vertical="center"/>
      <protection locked="0"/>
    </xf>
    <xf numFmtId="179" fontId="0" fillId="2" borderId="21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8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89" fontId="0" fillId="0" borderId="1" xfId="0" applyNumberFormat="1" applyFont="1" applyFill="1" applyBorder="1" applyAlignment="1">
      <alignment horizontal="center" vertical="center" shrinkToFit="1"/>
    </xf>
    <xf numFmtId="185" fontId="1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0" fillId="0" borderId="1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numFmt numFmtId="190" formatCode="[DBNum3]&quot;令和&quot;#&quot;年度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4"/>
    <pageSetUpPr fitToPage="1"/>
  </sheetPr>
  <dimension ref="A1:R18"/>
  <sheetViews>
    <sheetView tabSelected="1" zoomScaleNormal="100" workbookViewId="0">
      <selection activeCell="B3" sqref="B3"/>
    </sheetView>
  </sheetViews>
  <sheetFormatPr defaultColWidth="19.125" defaultRowHeight="22.5" customHeight="1" x14ac:dyDescent="0.15"/>
  <cols>
    <col min="1" max="1" width="8.125" style="17" bestFit="1" customWidth="1"/>
    <col min="2" max="2" width="17.625" style="17" customWidth="1"/>
    <col min="3" max="9" width="13.75" style="17" customWidth="1"/>
    <col min="10" max="10" width="14.625" style="17" bestFit="1" customWidth="1"/>
    <col min="11" max="11" width="9.75" style="17" bestFit="1" customWidth="1"/>
    <col min="12" max="12" width="9.75" style="17" customWidth="1"/>
    <col min="13" max="13" width="7.5" style="17" customWidth="1"/>
    <col min="14" max="14" width="7.25" style="17" customWidth="1"/>
    <col min="15" max="15" width="8.75" style="17" customWidth="1"/>
    <col min="16" max="16" width="9.25" style="17" customWidth="1"/>
    <col min="17" max="17" width="3" style="17" customWidth="1"/>
    <col min="18" max="18" width="9.75" style="17" customWidth="1"/>
    <col min="19" max="16384" width="19.125" style="17"/>
  </cols>
  <sheetData>
    <row r="1" spans="1:18" ht="22.5" customHeight="1" x14ac:dyDescent="0.15">
      <c r="B1" s="77">
        <v>7</v>
      </c>
      <c r="C1" s="76" t="s">
        <v>65</v>
      </c>
      <c r="D1" s="76"/>
      <c r="E1" s="76"/>
      <c r="F1" s="76"/>
    </row>
    <row r="2" spans="1:18" ht="22.5" customHeight="1" thickBot="1" x14ac:dyDescent="0.2">
      <c r="A2" s="59"/>
      <c r="B2" s="61" t="s">
        <v>57</v>
      </c>
      <c r="C2" s="61" t="s">
        <v>66</v>
      </c>
      <c r="D2" s="92" t="s">
        <v>67</v>
      </c>
      <c r="E2" s="92" t="s">
        <v>68</v>
      </c>
      <c r="F2" s="61" t="s">
        <v>83</v>
      </c>
      <c r="G2" s="126" t="s">
        <v>59</v>
      </c>
      <c r="H2" s="127"/>
      <c r="L2" s="111" t="s">
        <v>79</v>
      </c>
      <c r="M2" s="112" t="s">
        <v>80</v>
      </c>
      <c r="N2" s="113" t="s">
        <v>81</v>
      </c>
      <c r="O2" s="114" t="s">
        <v>77</v>
      </c>
      <c r="P2" s="114" t="s">
        <v>78</v>
      </c>
      <c r="Q2" s="111"/>
      <c r="R2" s="115" t="s">
        <v>82</v>
      </c>
    </row>
    <row r="3" spans="1:18" ht="22.5" customHeight="1" x14ac:dyDescent="0.15">
      <c r="A3" s="60" t="s">
        <v>33</v>
      </c>
      <c r="B3" s="99" t="s">
        <v>75</v>
      </c>
      <c r="C3" s="100">
        <v>0</v>
      </c>
      <c r="D3" s="101">
        <v>0</v>
      </c>
      <c r="E3" s="102">
        <v>0</v>
      </c>
      <c r="F3" s="91">
        <f>D3+E3+P3</f>
        <v>0</v>
      </c>
      <c r="G3" s="126" t="str">
        <f>IF(計算機!G8=3,"介護保険第２号被保険者","")</f>
        <v/>
      </c>
      <c r="H3" s="127"/>
      <c r="I3" s="17" t="str">
        <f>IF(F3&gt;0,"←基礎控除前","")</f>
        <v/>
      </c>
      <c r="L3" s="116">
        <f>IF(AND(C3&gt;0,C3&gt;=100000),100000,C3)</f>
        <v>0</v>
      </c>
      <c r="M3" s="116">
        <f>IF(AND(D3&gt;0,D3&gt;=100000),100000,D3)</f>
        <v>0</v>
      </c>
      <c r="N3" s="116">
        <f>IF(L3+M3&lt;=100000,0,IF(OR(L3&gt;0,M3&gt;0),L3+M3-100000,0))</f>
        <v>0</v>
      </c>
      <c r="O3" s="111">
        <f>IF(OR(C3&gt;0,D3&gt;0),1,0)</f>
        <v>0</v>
      </c>
      <c r="P3" s="117">
        <f>IF(N3="",0,IF(C3-N3&lt;0,0,C3-N3))</f>
        <v>0</v>
      </c>
      <c r="Q3" s="111">
        <f>VLOOKUP(B3,税率!W6:X10,2,FALSE)</f>
        <v>1</v>
      </c>
      <c r="R3" s="118">
        <f>IF(AND(Q3&gt;=4,D3&gt;=150000),150000,IF(Q3&gt;=4,D3,0))</f>
        <v>0</v>
      </c>
    </row>
    <row r="4" spans="1:18" ht="22.5" customHeight="1" x14ac:dyDescent="0.15">
      <c r="A4" s="60" t="s">
        <v>34</v>
      </c>
      <c r="B4" s="103" t="s">
        <v>44</v>
      </c>
      <c r="C4" s="104">
        <v>0</v>
      </c>
      <c r="D4" s="105">
        <v>0</v>
      </c>
      <c r="E4" s="106">
        <v>0</v>
      </c>
      <c r="F4" s="91">
        <f t="shared" ref="F4:F7" si="0">D4+E4+P4</f>
        <v>0</v>
      </c>
      <c r="G4" s="126" t="str">
        <f>IF(計算機!G9=3,"介護保険第２号被保険者","")</f>
        <v/>
      </c>
      <c r="H4" s="127"/>
      <c r="I4" s="17" t="str">
        <f t="shared" ref="I4:I7" si="1">IF(F4&gt;0,"←基礎控除前","")</f>
        <v/>
      </c>
      <c r="L4" s="116">
        <f t="shared" ref="L4:L7" si="2">IF(AND(C4&gt;0,C4&gt;=100000),100000,C4)</f>
        <v>0</v>
      </c>
      <c r="M4" s="116">
        <f t="shared" ref="M4:M7" si="3">IF(AND(D4&gt;0,D4&gt;=100000),100000,D4)</f>
        <v>0</v>
      </c>
      <c r="N4" s="116">
        <f t="shared" ref="N4:N7" si="4">IF(L4+M4&lt;=100000,0,IF(OR(L4&gt;0,M4&gt;0),L4+M4-100000,0))</f>
        <v>0</v>
      </c>
      <c r="O4" s="111">
        <f t="shared" ref="O4:O7" si="5">IF(OR(C4&gt;0,D4&gt;0),1,0)</f>
        <v>0</v>
      </c>
      <c r="P4" s="117">
        <f t="shared" ref="P4:P7" si="6">IF(N4="",0,IF(C4-N4&lt;0,0,C4-N4))</f>
        <v>0</v>
      </c>
      <c r="Q4" s="111">
        <f>VLOOKUP(B4,税率!$W$2:$X$5,2,FALSE)</f>
        <v>1</v>
      </c>
      <c r="R4" s="118">
        <f t="shared" ref="R4:R7" si="7">IF(AND(Q4&gt;=4,D4&gt;=150000),150000,IF(Q4&gt;=4,D4,0))</f>
        <v>0</v>
      </c>
    </row>
    <row r="5" spans="1:18" ht="22.5" customHeight="1" x14ac:dyDescent="0.15">
      <c r="A5" s="60" t="s">
        <v>35</v>
      </c>
      <c r="B5" s="103" t="s">
        <v>44</v>
      </c>
      <c r="C5" s="104">
        <v>0</v>
      </c>
      <c r="D5" s="105">
        <v>0</v>
      </c>
      <c r="E5" s="106">
        <v>0</v>
      </c>
      <c r="F5" s="91">
        <f t="shared" si="0"/>
        <v>0</v>
      </c>
      <c r="G5" s="126" t="str">
        <f>IF(計算機!G10=3,"介護保険第２号被保険者","")</f>
        <v/>
      </c>
      <c r="H5" s="127"/>
      <c r="I5" s="17" t="str">
        <f t="shared" si="1"/>
        <v/>
      </c>
      <c r="L5" s="116">
        <f t="shared" si="2"/>
        <v>0</v>
      </c>
      <c r="M5" s="116">
        <f t="shared" si="3"/>
        <v>0</v>
      </c>
      <c r="N5" s="116">
        <f t="shared" si="4"/>
        <v>0</v>
      </c>
      <c r="O5" s="111">
        <f t="shared" si="5"/>
        <v>0</v>
      </c>
      <c r="P5" s="117">
        <f t="shared" si="6"/>
        <v>0</v>
      </c>
      <c r="Q5" s="111">
        <f>VLOOKUP(B5,税率!$W$2:$X$5,2,FALSE)</f>
        <v>1</v>
      </c>
      <c r="R5" s="118">
        <f t="shared" si="7"/>
        <v>0</v>
      </c>
    </row>
    <row r="6" spans="1:18" ht="22.5" customHeight="1" x14ac:dyDescent="0.15">
      <c r="A6" s="60" t="s">
        <v>36</v>
      </c>
      <c r="B6" s="103" t="s">
        <v>44</v>
      </c>
      <c r="C6" s="104">
        <v>0</v>
      </c>
      <c r="D6" s="105">
        <v>0</v>
      </c>
      <c r="E6" s="106">
        <v>0</v>
      </c>
      <c r="F6" s="91">
        <f t="shared" si="0"/>
        <v>0</v>
      </c>
      <c r="G6" s="126" t="str">
        <f>IF(計算機!G11=3,"介護保険第２号被保険者","")</f>
        <v/>
      </c>
      <c r="H6" s="127"/>
      <c r="I6" s="17" t="str">
        <f t="shared" si="1"/>
        <v/>
      </c>
      <c r="L6" s="116">
        <f t="shared" si="2"/>
        <v>0</v>
      </c>
      <c r="M6" s="116">
        <f t="shared" si="3"/>
        <v>0</v>
      </c>
      <c r="N6" s="116">
        <f t="shared" si="4"/>
        <v>0</v>
      </c>
      <c r="O6" s="111">
        <f t="shared" si="5"/>
        <v>0</v>
      </c>
      <c r="P6" s="117">
        <f t="shared" si="6"/>
        <v>0</v>
      </c>
      <c r="Q6" s="111">
        <f>VLOOKUP(B6,税率!$W$2:$X$5,2,FALSE)</f>
        <v>1</v>
      </c>
      <c r="R6" s="118">
        <f t="shared" si="7"/>
        <v>0</v>
      </c>
    </row>
    <row r="7" spans="1:18" ht="22.5" customHeight="1" thickBot="1" x14ac:dyDescent="0.2">
      <c r="A7" s="60" t="s">
        <v>37</v>
      </c>
      <c r="B7" s="107" t="s">
        <v>44</v>
      </c>
      <c r="C7" s="108">
        <v>0</v>
      </c>
      <c r="D7" s="109">
        <v>0</v>
      </c>
      <c r="E7" s="110">
        <v>0</v>
      </c>
      <c r="F7" s="91">
        <f t="shared" si="0"/>
        <v>0</v>
      </c>
      <c r="G7" s="126" t="str">
        <f>IF(計算機!G12=3,"介護保険第２号被保険者","")</f>
        <v/>
      </c>
      <c r="H7" s="127"/>
      <c r="I7" s="17" t="str">
        <f t="shared" si="1"/>
        <v/>
      </c>
      <c r="L7" s="116">
        <f t="shared" si="2"/>
        <v>0</v>
      </c>
      <c r="M7" s="116">
        <f t="shared" si="3"/>
        <v>0</v>
      </c>
      <c r="N7" s="116">
        <f t="shared" si="4"/>
        <v>0</v>
      </c>
      <c r="O7" s="111">
        <f t="shared" si="5"/>
        <v>0</v>
      </c>
      <c r="P7" s="117">
        <f t="shared" si="6"/>
        <v>0</v>
      </c>
      <c r="Q7" s="111">
        <f>VLOOKUP(B7,税率!$W$2:$X$5,2,FALSE)</f>
        <v>1</v>
      </c>
      <c r="R7" s="118">
        <f t="shared" si="7"/>
        <v>0</v>
      </c>
    </row>
    <row r="8" spans="1:18" ht="22.5" customHeight="1" x14ac:dyDescent="0.15">
      <c r="C8" s="58"/>
      <c r="D8" s="58"/>
      <c r="E8" s="58"/>
      <c r="F8" s="58"/>
      <c r="L8" s="119">
        <f>SUM(F3:F7)</f>
        <v>0</v>
      </c>
      <c r="M8" s="111"/>
      <c r="N8" s="111"/>
      <c r="O8" s="111">
        <f>O3+O4+O5+O6+O7</f>
        <v>0</v>
      </c>
      <c r="P8" s="117"/>
      <c r="Q8" s="111"/>
      <c r="R8" s="120">
        <f>SUM(R3:R7)</f>
        <v>0</v>
      </c>
    </row>
    <row r="11" spans="1:18" ht="22.5" customHeight="1" x14ac:dyDescent="0.15">
      <c r="A11" s="47"/>
      <c r="B11" s="47" t="s">
        <v>48</v>
      </c>
      <c r="C11" s="47" t="s">
        <v>49</v>
      </c>
      <c r="D11" s="47" t="s">
        <v>50</v>
      </c>
      <c r="E11" s="53" t="s">
        <v>53</v>
      </c>
      <c r="F11" s="47" t="s">
        <v>31</v>
      </c>
      <c r="G11" s="56" t="s">
        <v>55</v>
      </c>
    </row>
    <row r="12" spans="1:18" ht="22.5" customHeight="1" x14ac:dyDescent="0.15">
      <c r="A12" s="47" t="s">
        <v>51</v>
      </c>
      <c r="B12" s="48">
        <f>計算機!A21</f>
        <v>0</v>
      </c>
      <c r="C12" s="48">
        <f>計算機!B21</f>
        <v>0</v>
      </c>
      <c r="D12" s="48">
        <f>計算機!C21</f>
        <v>0</v>
      </c>
      <c r="E12" s="54">
        <f>計算機!G16+計算機!G17</f>
        <v>0</v>
      </c>
      <c r="F12" s="48">
        <f>ROUNDDOWN(計算機!G21-E12,-2)</f>
        <v>0</v>
      </c>
      <c r="G12" s="83">
        <f>計算機!B5</f>
        <v>660000</v>
      </c>
    </row>
    <row r="13" spans="1:18" ht="22.5" customHeight="1" x14ac:dyDescent="0.15">
      <c r="A13" s="47" t="s">
        <v>54</v>
      </c>
      <c r="B13" s="48">
        <f>計算機!A29</f>
        <v>0</v>
      </c>
      <c r="C13" s="48">
        <f>計算機!B29</f>
        <v>0</v>
      </c>
      <c r="D13" s="48">
        <f>計算機!C29</f>
        <v>0</v>
      </c>
      <c r="E13" s="54">
        <f>計算機!F24+計算機!F25</f>
        <v>0</v>
      </c>
      <c r="F13" s="48">
        <f>ROUNDDOWN(計算機!F29-E13,-2)</f>
        <v>0</v>
      </c>
      <c r="G13" s="83">
        <f>計算機!D5</f>
        <v>260000</v>
      </c>
    </row>
    <row r="14" spans="1:18" ht="22.5" customHeight="1" x14ac:dyDescent="0.15">
      <c r="A14" s="47" t="s">
        <v>52</v>
      </c>
      <c r="B14" s="48">
        <f>計算機!A37</f>
        <v>0</v>
      </c>
      <c r="C14" s="48">
        <f>計算機!B37</f>
        <v>0</v>
      </c>
      <c r="D14" s="48">
        <f>計算機!C37</f>
        <v>0</v>
      </c>
      <c r="E14" s="54">
        <f>計算機!F32+計算機!F33</f>
        <v>0</v>
      </c>
      <c r="F14" s="48">
        <f>ROUNDDOWN(計算機!F37-E14,-2)</f>
        <v>0</v>
      </c>
      <c r="G14" s="83">
        <f>計算機!F5</f>
        <v>170000</v>
      </c>
    </row>
    <row r="15" spans="1:18" ht="22.5" customHeight="1" x14ac:dyDescent="0.15">
      <c r="A15" s="122" t="str">
        <f>計算機!G15</f>
        <v/>
      </c>
      <c r="B15" s="122"/>
      <c r="C15" s="122"/>
      <c r="D15" s="122"/>
      <c r="E15" s="122"/>
      <c r="F15" s="122"/>
      <c r="G15" s="122"/>
      <c r="H15" s="122"/>
      <c r="I15" s="122"/>
      <c r="J15" s="122"/>
    </row>
    <row r="16" spans="1:18" ht="22.5" customHeight="1" thickBot="1" x14ac:dyDescent="0.2">
      <c r="A16" s="123" t="s">
        <v>60</v>
      </c>
      <c r="B16" s="123"/>
      <c r="C16" s="123"/>
      <c r="D16" s="123"/>
      <c r="E16" s="123"/>
      <c r="F16" s="123"/>
      <c r="G16" s="123"/>
      <c r="H16" s="123"/>
      <c r="I16" s="123"/>
      <c r="J16" s="123"/>
    </row>
    <row r="17" spans="8:12" ht="22.5" customHeight="1" thickBot="1" x14ac:dyDescent="0.2">
      <c r="H17" s="124" t="s">
        <v>56</v>
      </c>
      <c r="I17" s="125"/>
      <c r="J17" s="55">
        <f>F12+F13+F14</f>
        <v>0</v>
      </c>
      <c r="L17" s="90"/>
    </row>
    <row r="18" spans="8:12" ht="22.5" customHeight="1" thickBot="1" x14ac:dyDescent="0.2">
      <c r="H18" s="124" t="s">
        <v>58</v>
      </c>
      <c r="I18" s="125"/>
      <c r="J18" s="57">
        <f>ROUNDUP(J17/12,0)</f>
        <v>0</v>
      </c>
    </row>
  </sheetData>
  <sheetProtection sheet="1" selectLockedCells="1"/>
  <mergeCells count="10">
    <mergeCell ref="A15:J15"/>
    <mergeCell ref="A16:J16"/>
    <mergeCell ref="H17:I17"/>
    <mergeCell ref="H18:I18"/>
    <mergeCell ref="G2:H2"/>
    <mergeCell ref="G3:H3"/>
    <mergeCell ref="G4:H4"/>
    <mergeCell ref="G5:H5"/>
    <mergeCell ref="G6:H6"/>
    <mergeCell ref="G7:H7"/>
  </mergeCells>
  <phoneticPr fontId="2"/>
  <conditionalFormatting sqref="B1">
    <cfRule type="cellIs" dxfId="0" priority="6" stopIfTrue="1" operator="between">
      <formula>2</formula>
      <formula>10</formula>
    </cfRule>
  </conditionalFormatting>
  <dataValidations count="3">
    <dataValidation type="list" allowBlank="1" showInputMessage="1" showErrorMessage="1" sqref="B4:B7">
      <formula1>年齢区分</formula1>
    </dataValidation>
    <dataValidation type="list" allowBlank="1" showInputMessage="1" showErrorMessage="1" sqref="B1">
      <formula1>年度</formula1>
    </dataValidation>
    <dataValidation type="list" allowBlank="1" showInputMessage="1" showErrorMessage="1" sqref="B3">
      <formula1>加入区分１</formula1>
    </dataValidation>
  </dataValidations>
  <printOptions horizontalCentered="1" verticalCentered="1"/>
  <pageMargins left="0.25" right="0.25" top="0.75" bottom="0.75" header="0.3" footer="0.3"/>
  <pageSetup paperSize="9" scale="7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38"/>
  <sheetViews>
    <sheetView view="pageBreakPreview" zoomScaleNormal="100" zoomScaleSheetLayoutView="100" workbookViewId="0">
      <selection activeCell="B6" sqref="B6"/>
    </sheetView>
  </sheetViews>
  <sheetFormatPr defaultColWidth="12.5" defaultRowHeight="13.5" x14ac:dyDescent="0.15"/>
  <cols>
    <col min="1" max="6" width="12.5" style="26" customWidth="1"/>
    <col min="7" max="10" width="10" style="25" customWidth="1"/>
    <col min="11" max="13" width="10" style="26" customWidth="1"/>
    <col min="14" max="16384" width="12.5" style="26"/>
  </cols>
  <sheetData>
    <row r="1" spans="1:12" ht="14.25" thickBot="1" x14ac:dyDescent="0.2">
      <c r="A1" s="45" t="s">
        <v>6</v>
      </c>
      <c r="B1" s="121">
        <f>試算表!B1</f>
        <v>7</v>
      </c>
      <c r="C1" s="43" t="s">
        <v>25</v>
      </c>
      <c r="D1" s="46">
        <v>12</v>
      </c>
      <c r="E1" s="43" t="s">
        <v>26</v>
      </c>
      <c r="F1" s="62">
        <f>IF(計算機!H13&gt;=1,12,0)</f>
        <v>0</v>
      </c>
      <c r="G1" s="63">
        <v>13</v>
      </c>
      <c r="H1" s="129" t="s">
        <v>61</v>
      </c>
      <c r="I1" s="128"/>
    </row>
    <row r="2" spans="1:12" x14ac:dyDescent="0.15">
      <c r="A2" s="27" t="s">
        <v>0</v>
      </c>
      <c r="B2" s="28">
        <f>VLOOKUP(計算機!B1,税率!B1:O15,2,0)</f>
        <v>7.9000000000000001E-2</v>
      </c>
      <c r="C2" s="28" t="s">
        <v>39</v>
      </c>
      <c r="D2" s="28">
        <f>VLOOKUP(計算機!B1,税率!B1:O15,5,0)</f>
        <v>2.1999999999999999E-2</v>
      </c>
      <c r="E2" s="28" t="s">
        <v>3</v>
      </c>
      <c r="F2" s="28">
        <f>VLOOKUP(計算機!B1,税率!B1:O15,8,0)</f>
        <v>1.9E-2</v>
      </c>
      <c r="G2" s="29"/>
    </row>
    <row r="3" spans="1:12" x14ac:dyDescent="0.15">
      <c r="A3" s="27" t="s">
        <v>1</v>
      </c>
      <c r="B3" s="85">
        <f>VLOOKUP(計算機!B1,税率!B1:O15,3,0)</f>
        <v>28000</v>
      </c>
      <c r="C3" s="27" t="s">
        <v>40</v>
      </c>
      <c r="D3" s="87">
        <f>VLOOKUP(計算機!B1,税率!B1:O15,6,0)</f>
        <v>6000</v>
      </c>
      <c r="E3" s="27" t="s">
        <v>4</v>
      </c>
      <c r="F3" s="85">
        <f>VLOOKUP(計算機!B1,税率!B1:O15,9,0)</f>
        <v>8000</v>
      </c>
      <c r="G3" s="29"/>
    </row>
    <row r="4" spans="1:12" x14ac:dyDescent="0.15">
      <c r="A4" s="30" t="s">
        <v>2</v>
      </c>
      <c r="B4" s="86">
        <f>VLOOKUP(計算機!B1,税率!B1:O15,4,0)</f>
        <v>27000</v>
      </c>
      <c r="C4" s="30" t="s">
        <v>41</v>
      </c>
      <c r="D4" s="88">
        <f>VLOOKUP(計算機!B1,税率!B1:O15,7,0)</f>
        <v>4500</v>
      </c>
      <c r="E4" s="30" t="s">
        <v>5</v>
      </c>
      <c r="F4" s="86">
        <f>VLOOKUP(計算機!B1,税率!B1:O15,10,0)</f>
        <v>4500</v>
      </c>
      <c r="G4" s="29"/>
    </row>
    <row r="5" spans="1:12" x14ac:dyDescent="0.15">
      <c r="A5" s="30" t="s">
        <v>7</v>
      </c>
      <c r="B5" s="86">
        <f>VLOOKUP(計算機!B1,税率!B1:O15,11,0)</f>
        <v>660000</v>
      </c>
      <c r="C5" s="31" t="s">
        <v>8</v>
      </c>
      <c r="D5" s="89">
        <f>VLOOKUP(計算機!B1,税率!B1:O15,12,0)</f>
        <v>260000</v>
      </c>
      <c r="E5" s="31" t="s">
        <v>9</v>
      </c>
      <c r="F5" s="86">
        <f>VLOOKUP(計算機!B1,税率!B1:O15,13,0)</f>
        <v>170000</v>
      </c>
      <c r="G5" s="29"/>
    </row>
    <row r="6" spans="1:12" x14ac:dyDescent="0.15">
      <c r="A6" s="27" t="s">
        <v>62</v>
      </c>
      <c r="B6" s="31">
        <f>VLOOKUP(試算表!B1,税率!B2:R15,15,FALSE)+100000*(試算表!O8-1)+試算表!R8</f>
        <v>330000</v>
      </c>
      <c r="C6" s="27" t="s">
        <v>63</v>
      </c>
      <c r="D6" s="31">
        <f>VLOOKUP(試算表!$B$1,税率!$B$2:$V$15,15,FALSE)+VLOOKUP(試算表!$B$1,税率!$B$2:$V$15,16,FALSE)*I13+100000*(試算表!$O$8-1)+試算表!R8</f>
        <v>330000</v>
      </c>
      <c r="E6" s="40" t="s">
        <v>64</v>
      </c>
      <c r="F6" s="31">
        <f>VLOOKUP(試算表!$B$1,税率!$B$2:$V$15,15,FALSE)+VLOOKUP(試算表!$B$1,税率!$B$2:$V$15,17,FALSE)*I13+100000*(試算表!$O$8-1)+試算表!R8</f>
        <v>330000</v>
      </c>
      <c r="G6" s="29"/>
    </row>
    <row r="7" spans="1:12" x14ac:dyDescent="0.15">
      <c r="A7" s="66" t="s">
        <v>10</v>
      </c>
      <c r="B7" s="66" t="s">
        <v>29</v>
      </c>
      <c r="C7" s="66" t="s">
        <v>30</v>
      </c>
      <c r="D7" s="33" t="s">
        <v>74</v>
      </c>
      <c r="E7" s="47" t="s">
        <v>69</v>
      </c>
      <c r="F7" s="96">
        <f>VLOOKUP(試算表!B1,税率!B2:V15,20,FALSE)</f>
        <v>150000</v>
      </c>
      <c r="G7" s="34"/>
    </row>
    <row r="8" spans="1:12" x14ac:dyDescent="0.15">
      <c r="A8" s="32">
        <f>試算表!F3</f>
        <v>0</v>
      </c>
      <c r="B8" s="32">
        <f>A8</f>
        <v>0</v>
      </c>
      <c r="C8" s="32">
        <f>IF(G8=1,0,B8)</f>
        <v>0</v>
      </c>
      <c r="D8" s="32">
        <f>IF(C8&lt;=L8,0,C8-L8)</f>
        <v>0</v>
      </c>
      <c r="E8" s="35"/>
      <c r="F8" s="35"/>
      <c r="G8" s="36">
        <f>IF(OR(試算表!Q3=1,試算表!Q3=5),1,試算表!Q3)</f>
        <v>1</v>
      </c>
      <c r="H8" s="36">
        <f>IF(G8=3,1,0)</f>
        <v>0</v>
      </c>
      <c r="I8" s="19">
        <f>IF(G8&gt;1,1,0)</f>
        <v>0</v>
      </c>
      <c r="J8" s="25">
        <v>24000000</v>
      </c>
      <c r="K8" s="25">
        <f>VLOOKUP(試算表!$B$1,税率!$B$2:$V$15,18,FALSE)</f>
        <v>430000</v>
      </c>
      <c r="L8" s="26">
        <f>IF(C8&lt;=$J$8,K8,IF(C8&lt;=$J$9,$K$9,IF(C8&lt;=$J$10,$K$10,$K$11)))</f>
        <v>430000</v>
      </c>
    </row>
    <row r="9" spans="1:12" x14ac:dyDescent="0.15">
      <c r="A9" s="32">
        <f>試算表!F4</f>
        <v>0</v>
      </c>
      <c r="B9" s="32">
        <f>IF(G9&gt;1,A9,0)</f>
        <v>0</v>
      </c>
      <c r="C9" s="32">
        <f t="shared" ref="C9:C12" si="0">IF(G9=1,0,B9)</f>
        <v>0</v>
      </c>
      <c r="D9" s="32">
        <f t="shared" ref="D9:D12" si="1">IF(C9&lt;=L9,0,C9-L9)</f>
        <v>0</v>
      </c>
      <c r="E9" s="35"/>
      <c r="F9" s="35"/>
      <c r="G9" s="36">
        <f>IFERROR(VLOOKUP(試算表!B4,税率!$W$2:$X$5,2,FALSE),"")</f>
        <v>1</v>
      </c>
      <c r="H9" s="36">
        <f>IF(G9=3,1,0)</f>
        <v>0</v>
      </c>
      <c r="I9" s="19">
        <f>IF(G9&gt;1,1,0)</f>
        <v>0</v>
      </c>
      <c r="J9" s="25">
        <v>24500000</v>
      </c>
      <c r="K9" s="95">
        <f>VLOOKUP(試算表!$B$1,税率!$B$2:$V$15,19,FALSE)</f>
        <v>290000</v>
      </c>
      <c r="L9" s="26">
        <f>IF(C9&lt;=$J$8,$K$8,IF(C9&lt;=$J$9,$K$9,IF(C9&lt;=$J$10,$K$10,$K$11)))</f>
        <v>430000</v>
      </c>
    </row>
    <row r="10" spans="1:12" x14ac:dyDescent="0.15">
      <c r="A10" s="32">
        <f>試算表!F5</f>
        <v>0</v>
      </c>
      <c r="B10" s="32">
        <f>IF(G10&gt;1,A10,0)</f>
        <v>0</v>
      </c>
      <c r="C10" s="32">
        <f t="shared" si="0"/>
        <v>0</v>
      </c>
      <c r="D10" s="32">
        <f t="shared" si="1"/>
        <v>0</v>
      </c>
      <c r="E10" s="35"/>
      <c r="F10" s="35"/>
      <c r="G10" s="36">
        <f>IFERROR(VLOOKUP(試算表!B5,税率!$W$2:$X$5,2,FALSE),"")</f>
        <v>1</v>
      </c>
      <c r="H10" s="36">
        <f>IF(G10=3,1,0)</f>
        <v>0</v>
      </c>
      <c r="I10" s="19">
        <f>IF(G10&gt;1,1,0)</f>
        <v>0</v>
      </c>
      <c r="J10" s="25">
        <v>25000000</v>
      </c>
      <c r="K10" s="95">
        <f>VLOOKUP(試算表!$B$1,税率!$B$2:$V$15,20,FALSE)</f>
        <v>150000</v>
      </c>
      <c r="L10" s="26">
        <f>IF(C10&lt;=$J$8,$K$8,IF(C10&lt;=$J$9,$K$9,IF(C10&lt;=$J$10,$K$10,$K$11)))</f>
        <v>430000</v>
      </c>
    </row>
    <row r="11" spans="1:12" x14ac:dyDescent="0.15">
      <c r="A11" s="32">
        <f>試算表!F6</f>
        <v>0</v>
      </c>
      <c r="B11" s="32">
        <f>IF(G11&gt;1,A11,0)</f>
        <v>0</v>
      </c>
      <c r="C11" s="32">
        <f t="shared" si="0"/>
        <v>0</v>
      </c>
      <c r="D11" s="32">
        <f t="shared" si="1"/>
        <v>0</v>
      </c>
      <c r="E11" s="35"/>
      <c r="F11" s="35"/>
      <c r="G11" s="36">
        <f>IFERROR(VLOOKUP(試算表!B6,税率!$W$2:$X$5,2,FALSE),"")</f>
        <v>1</v>
      </c>
      <c r="H11" s="36">
        <f>IF(G11=3,1,0)</f>
        <v>0</v>
      </c>
      <c r="I11" s="19">
        <f>IF(G11&gt;1,1,0)</f>
        <v>0</v>
      </c>
      <c r="K11" s="95">
        <f>VLOOKUP(試算表!$B$1,税率!$B$2:$V$15,21,FALSE)</f>
        <v>0</v>
      </c>
      <c r="L11" s="26">
        <f>IF(C11&lt;=$J$8,$K$8,IF(C11&lt;=$J$9,$K$9,IF(C11&lt;=$J$10,$K$10,$K$11)))</f>
        <v>430000</v>
      </c>
    </row>
    <row r="12" spans="1:12" x14ac:dyDescent="0.15">
      <c r="A12" s="32">
        <f>試算表!F7</f>
        <v>0</v>
      </c>
      <c r="B12" s="32">
        <f>IF(G12&gt;1,A12,0)</f>
        <v>0</v>
      </c>
      <c r="C12" s="32">
        <f t="shared" si="0"/>
        <v>0</v>
      </c>
      <c r="D12" s="32">
        <f t="shared" si="1"/>
        <v>0</v>
      </c>
      <c r="E12" s="35"/>
      <c r="F12" s="35"/>
      <c r="G12" s="36">
        <f>IFERROR(VLOOKUP(試算表!B7,税率!$W$2:$X$5,2,FALSE),"")</f>
        <v>1</v>
      </c>
      <c r="H12" s="36">
        <f>IF(G12=3,1,0)</f>
        <v>0</v>
      </c>
      <c r="I12" s="19">
        <f>IF(G12&gt;1,1,0)</f>
        <v>0</v>
      </c>
      <c r="K12" s="25"/>
      <c r="L12" s="26">
        <f>IF(C12&lt;=$J$8,$K$8,IF(C12&lt;=$J$9,$K$9,IF(C12&lt;=$J$10,$K$10,$K$11)))</f>
        <v>430000</v>
      </c>
    </row>
    <row r="13" spans="1:12" x14ac:dyDescent="0.15">
      <c r="A13" s="32">
        <f>SUM(A8:A12)</f>
        <v>0</v>
      </c>
      <c r="B13" s="32">
        <f>SUM(B8:B12)</f>
        <v>0</v>
      </c>
      <c r="C13" s="32">
        <f>SUM(C8:C12)</f>
        <v>0</v>
      </c>
      <c r="D13" s="32">
        <f>SUM(D8:D12)</f>
        <v>0</v>
      </c>
      <c r="E13" s="93"/>
      <c r="F13" s="23"/>
      <c r="G13" s="36"/>
      <c r="H13" s="36">
        <f>SUM(H8:H12)</f>
        <v>0</v>
      </c>
      <c r="I13" s="49">
        <f>SUM(I8:I12)</f>
        <v>0</v>
      </c>
    </row>
    <row r="14" spans="1:12" ht="14.25" thickBot="1" x14ac:dyDescent="0.2">
      <c r="A14" s="14">
        <v>0</v>
      </c>
      <c r="B14" s="14">
        <v>0</v>
      </c>
      <c r="C14" s="14">
        <v>0</v>
      </c>
      <c r="D14" s="14">
        <v>0</v>
      </c>
      <c r="E14" s="14">
        <v>0</v>
      </c>
      <c r="F14" s="37"/>
      <c r="G14" s="24"/>
      <c r="H14" s="24"/>
    </row>
    <row r="15" spans="1:12" ht="14.25" thickBot="1" x14ac:dyDescent="0.2">
      <c r="A15" s="38" t="s">
        <v>0</v>
      </c>
      <c r="B15" s="38" t="s">
        <v>1</v>
      </c>
      <c r="C15" s="38" t="s">
        <v>2</v>
      </c>
      <c r="D15" s="39" t="s">
        <v>27</v>
      </c>
      <c r="E15" s="94"/>
      <c r="F15" s="64"/>
      <c r="G15" s="65" t="str">
        <f>IF(I13=0,"",IF(B13&lt;=B6,7,IF(B13&lt;=D6,5,IF(B13&lt;=F6,2,""))))</f>
        <v/>
      </c>
      <c r="H15" s="129"/>
      <c r="I15" s="128"/>
    </row>
    <row r="16" spans="1:12" x14ac:dyDescent="0.15">
      <c r="A16" s="38">
        <f>D8*$B$2</f>
        <v>0</v>
      </c>
      <c r="B16" s="38">
        <f>B3*D16/12</f>
        <v>0</v>
      </c>
      <c r="C16" s="38">
        <f>IF(I13=0,0,B4*D1/12*D16/(D16+D17+D18+D19+D20))</f>
        <v>0</v>
      </c>
      <c r="D16" s="40">
        <f>IF(計算機!G8&gt;1,12,0)</f>
        <v>0</v>
      </c>
      <c r="E16" s="40"/>
      <c r="F16" s="38"/>
      <c r="G16" s="20">
        <f>IF(G15="",0,B21*G15/10)</f>
        <v>0</v>
      </c>
    </row>
    <row r="17" spans="1:11" x14ac:dyDescent="0.15">
      <c r="A17" s="38">
        <f>D9*$B$2</f>
        <v>0</v>
      </c>
      <c r="B17" s="38">
        <f>B3*D17/12</f>
        <v>0</v>
      </c>
      <c r="C17" s="38">
        <f>IF(I13=0,0,B4*D1/12*D17/(D16+D17+D18+D19+D20))</f>
        <v>0</v>
      </c>
      <c r="D17" s="40">
        <f>IF(計算機!G9&gt;1,12,0)</f>
        <v>0</v>
      </c>
      <c r="E17" s="40"/>
      <c r="F17" s="38"/>
      <c r="G17" s="51">
        <f>IF(G15="",0,C21*G15/10)</f>
        <v>0</v>
      </c>
    </row>
    <row r="18" spans="1:11" x14ac:dyDescent="0.15">
      <c r="A18" s="38">
        <f>D10*$B$2</f>
        <v>0</v>
      </c>
      <c r="B18" s="38">
        <f>B3*D18/12</f>
        <v>0</v>
      </c>
      <c r="C18" s="38">
        <f>IF(I13=0,0,B4*D1/12*D18/(D16+D17+D18+D19+D20))</f>
        <v>0</v>
      </c>
      <c r="D18" s="40">
        <f>IF(計算機!G10&gt;1,12,0)</f>
        <v>0</v>
      </c>
      <c r="E18" s="40"/>
      <c r="F18" s="38"/>
      <c r="G18" s="50"/>
    </row>
    <row r="19" spans="1:11" x14ac:dyDescent="0.15">
      <c r="A19" s="38">
        <f>D11*$B$2</f>
        <v>0</v>
      </c>
      <c r="B19" s="38">
        <f>B3*D19/12</f>
        <v>0</v>
      </c>
      <c r="C19" s="38">
        <f>IF(I13=0,0,B4*D1/12*D19/(D16+D17+D18+D19+D20))</f>
        <v>0</v>
      </c>
      <c r="D19" s="40">
        <f>IF(計算機!G11&gt;1,12,0)</f>
        <v>0</v>
      </c>
      <c r="E19" s="40"/>
      <c r="F19" s="38"/>
      <c r="G19" s="50"/>
    </row>
    <row r="20" spans="1:11" x14ac:dyDescent="0.15">
      <c r="A20" s="38">
        <f>D12*$B$2</f>
        <v>0</v>
      </c>
      <c r="B20" s="38">
        <f>B3*D20/12</f>
        <v>0</v>
      </c>
      <c r="C20" s="38">
        <f>IF(I13=0,0,B4*D1/12*D20/(D16+D17+D18+D19+D20))</f>
        <v>0</v>
      </c>
      <c r="D20" s="40">
        <f>IF(計算機!G12&gt;1,12,0)</f>
        <v>0</v>
      </c>
      <c r="E20" s="40"/>
      <c r="F20" s="38"/>
      <c r="G20" s="50"/>
    </row>
    <row r="21" spans="1:11" x14ac:dyDescent="0.15">
      <c r="A21" s="32">
        <f>ROUNDDOWN(SUM(A16:A20),0)</f>
        <v>0</v>
      </c>
      <c r="B21" s="32">
        <f>SUM(B16:B20)</f>
        <v>0</v>
      </c>
      <c r="C21" s="32">
        <f>SUM(C16:C20)</f>
        <v>0</v>
      </c>
      <c r="D21" s="38">
        <f>A21+B21+C21</f>
        <v>0</v>
      </c>
      <c r="E21" s="38"/>
      <c r="F21" s="1" t="str">
        <f>IF(B5&gt;A21+B21+C21,"OK","NG")</f>
        <v>OK</v>
      </c>
      <c r="G21" s="41">
        <f>IF(D21&gt;B5,B5,ROUNDDOWN(D21,-2))</f>
        <v>0</v>
      </c>
      <c r="H21" s="41">
        <f>D21-G21</f>
        <v>0</v>
      </c>
      <c r="I21" s="128" t="s">
        <v>38</v>
      </c>
      <c r="J21" s="128"/>
      <c r="K21" s="22">
        <f>ROUNDDOWN(SUM(F16:F20),-2)</f>
        <v>0</v>
      </c>
    </row>
    <row r="22" spans="1:11" x14ac:dyDescent="0.15">
      <c r="A22" s="18"/>
      <c r="B22" s="18"/>
      <c r="C22" s="14"/>
      <c r="D22" s="14"/>
      <c r="E22" s="14"/>
      <c r="F22" s="37"/>
    </row>
    <row r="23" spans="1:11" x14ac:dyDescent="0.15">
      <c r="A23" s="42" t="s">
        <v>39</v>
      </c>
      <c r="B23" s="38" t="s">
        <v>40</v>
      </c>
      <c r="C23" s="38" t="s">
        <v>41</v>
      </c>
      <c r="D23" s="39" t="s">
        <v>42</v>
      </c>
      <c r="E23" s="44"/>
      <c r="F23" s="25"/>
      <c r="J23" s="26"/>
    </row>
    <row r="24" spans="1:11" x14ac:dyDescent="0.15">
      <c r="A24" s="38">
        <f>D8*D2</f>
        <v>0</v>
      </c>
      <c r="B24" s="38">
        <f>D3*D24/12</f>
        <v>0</v>
      </c>
      <c r="C24" s="38">
        <f>IF(I13=0,0,D4*D24/(D24+D25+D26+D27+D28))</f>
        <v>0</v>
      </c>
      <c r="D24" s="40">
        <f>D16</f>
        <v>0</v>
      </c>
      <c r="E24" s="38"/>
      <c r="F24" s="52">
        <f>IF(G15="",0,B29*G15/10)</f>
        <v>0</v>
      </c>
      <c r="J24" s="26"/>
    </row>
    <row r="25" spans="1:11" x14ac:dyDescent="0.15">
      <c r="A25" s="38">
        <f>D9*D2</f>
        <v>0</v>
      </c>
      <c r="B25" s="38">
        <f>D3*D25/12</f>
        <v>0</v>
      </c>
      <c r="C25" s="38">
        <f>IF(I13=0,0,D4*D25/(D24+D25+D26+D27+D28))</f>
        <v>0</v>
      </c>
      <c r="D25" s="40">
        <f>D17</f>
        <v>0</v>
      </c>
      <c r="E25" s="38"/>
      <c r="F25" s="52">
        <f>IF(G15="",0,C29*G15/10)</f>
        <v>0</v>
      </c>
      <c r="J25" s="26"/>
    </row>
    <row r="26" spans="1:11" x14ac:dyDescent="0.15">
      <c r="A26" s="38">
        <f>D10*D2</f>
        <v>0</v>
      </c>
      <c r="B26" s="38">
        <f>D3*D26/12</f>
        <v>0</v>
      </c>
      <c r="C26" s="38">
        <f>IF(I13=0,0,D4*D26/(D24+D25+D26+D27+D28))</f>
        <v>0</v>
      </c>
      <c r="D26" s="40">
        <f>D18</f>
        <v>0</v>
      </c>
      <c r="E26" s="38"/>
      <c r="F26" s="25"/>
      <c r="J26" s="26"/>
    </row>
    <row r="27" spans="1:11" x14ac:dyDescent="0.15">
      <c r="A27" s="38">
        <f>D11*D2</f>
        <v>0</v>
      </c>
      <c r="B27" s="38">
        <f>D3*D27/12</f>
        <v>0</v>
      </c>
      <c r="C27" s="38">
        <f>IF(I13=0,0,D4*D27/(D24+D25+D26+D27+D28))</f>
        <v>0</v>
      </c>
      <c r="D27" s="40">
        <f>D19</f>
        <v>0</v>
      </c>
      <c r="E27" s="38"/>
      <c r="F27" s="25"/>
      <c r="J27" s="26"/>
    </row>
    <row r="28" spans="1:11" x14ac:dyDescent="0.15">
      <c r="A28" s="38">
        <f>D12*D2</f>
        <v>0</v>
      </c>
      <c r="B28" s="38">
        <f>D3*D28/12</f>
        <v>0</v>
      </c>
      <c r="C28" s="38">
        <f>IF(I13=0,0,D4*D28/(D24+D25+D26+D27+D28))</f>
        <v>0</v>
      </c>
      <c r="D28" s="40">
        <f>D20</f>
        <v>0</v>
      </c>
      <c r="E28" s="38"/>
      <c r="F28" s="25"/>
      <c r="J28" s="26"/>
    </row>
    <row r="29" spans="1:11" x14ac:dyDescent="0.15">
      <c r="A29" s="32">
        <f>ROUNDDOWN(SUM(A24:A28),0)</f>
        <v>0</v>
      </c>
      <c r="B29" s="32">
        <f>SUM(B24:B28)</f>
        <v>0</v>
      </c>
      <c r="C29" s="32">
        <f>SUM(C24:C28)</f>
        <v>0</v>
      </c>
      <c r="D29" s="38">
        <f>A29+B29+C29</f>
        <v>0</v>
      </c>
      <c r="E29" s="1" t="str">
        <f>IF(D5&gt;A29+B29+C29,"OK","NG")</f>
        <v>OK</v>
      </c>
      <c r="F29" s="41">
        <f>IF(D29&gt;D5,D5,ROUNDDOWN(D29,-2))</f>
        <v>0</v>
      </c>
      <c r="G29" s="41">
        <f>D29-F29</f>
        <v>0</v>
      </c>
      <c r="H29" s="128" t="s">
        <v>38</v>
      </c>
      <c r="I29" s="128"/>
      <c r="J29" s="22">
        <f>ROUNDDOWN(SUM(E24:E28),-2)</f>
        <v>0</v>
      </c>
    </row>
    <row r="30" spans="1:11" x14ac:dyDescent="0.15">
      <c r="A30" s="14"/>
      <c r="B30" s="14"/>
      <c r="C30" s="14"/>
      <c r="D30" s="14"/>
      <c r="E30" s="14"/>
      <c r="F30" s="37"/>
    </row>
    <row r="31" spans="1:11" x14ac:dyDescent="0.15">
      <c r="A31" s="38" t="s">
        <v>3</v>
      </c>
      <c r="B31" s="38" t="s">
        <v>4</v>
      </c>
      <c r="C31" s="38" t="s">
        <v>5</v>
      </c>
      <c r="D31" s="39" t="s">
        <v>28</v>
      </c>
      <c r="E31" s="44"/>
      <c r="F31" s="20"/>
      <c r="J31" s="26"/>
    </row>
    <row r="32" spans="1:11" x14ac:dyDescent="0.15">
      <c r="A32" s="38">
        <f>IF(D32=0,0,D8*F2)</f>
        <v>0</v>
      </c>
      <c r="B32" s="38">
        <f>F3*D32/12</f>
        <v>0</v>
      </c>
      <c r="C32" s="38">
        <f>IF(D32+D33+D34+D35+D36=0,0,F4*F1/12*D32/(D32+D33+D34+D35+D36))</f>
        <v>0</v>
      </c>
      <c r="D32" s="40">
        <f>IF(計算機!G8=3,12,0)</f>
        <v>0</v>
      </c>
      <c r="E32" s="38"/>
      <c r="F32" s="52">
        <f>IF(G15="",0,B37*G15/10)</f>
        <v>0</v>
      </c>
      <c r="J32" s="26"/>
    </row>
    <row r="33" spans="1:11" x14ac:dyDescent="0.15">
      <c r="A33" s="38">
        <f>IF(D33=0,0,D9*F2)</f>
        <v>0</v>
      </c>
      <c r="B33" s="38">
        <f>F3*D33/12</f>
        <v>0</v>
      </c>
      <c r="C33" s="38">
        <f>IF(D32+D33+D34+D35+D36=0,0,F4*F1/12*D33/(D32+D33+D34+D35+D36))</f>
        <v>0</v>
      </c>
      <c r="D33" s="40">
        <f>IF(計算機!G9=3,12,0)</f>
        <v>0</v>
      </c>
      <c r="E33" s="38"/>
      <c r="F33" s="52">
        <f>IF(G15="",0,C37*G15/10)</f>
        <v>0</v>
      </c>
      <c r="J33" s="26"/>
      <c r="K33" s="25"/>
    </row>
    <row r="34" spans="1:11" x14ac:dyDescent="0.15">
      <c r="A34" s="38">
        <f>IF(D34=0,0,D10*F2)</f>
        <v>0</v>
      </c>
      <c r="B34" s="38">
        <f>F3*D34/12</f>
        <v>0</v>
      </c>
      <c r="C34" s="38">
        <f>IF(D32+D33+D34+D35+D36=0,0,F4*F1/12*D34/(D32+D33+D34+D35+D36))</f>
        <v>0</v>
      </c>
      <c r="D34" s="40">
        <f>IF(計算機!G10=3,12,0)</f>
        <v>0</v>
      </c>
      <c r="E34" s="38"/>
      <c r="F34" s="25"/>
      <c r="J34" s="26"/>
    </row>
    <row r="35" spans="1:11" x14ac:dyDescent="0.15">
      <c r="A35" s="38">
        <f>IF(D35=0,0,D11*F2)</f>
        <v>0</v>
      </c>
      <c r="B35" s="38">
        <f>F3*D35/12</f>
        <v>0</v>
      </c>
      <c r="C35" s="38">
        <f>IF(D32+D33+D34+D35+D36=0,0,F4*F1/12*D35/(D32+D33+D34+D35+D36))</f>
        <v>0</v>
      </c>
      <c r="D35" s="40">
        <f>IF(計算機!G11=3,12,0)</f>
        <v>0</v>
      </c>
      <c r="E35" s="38"/>
      <c r="F35" s="25"/>
      <c r="J35" s="26"/>
    </row>
    <row r="36" spans="1:11" x14ac:dyDescent="0.15">
      <c r="A36" s="38">
        <f>IF(D36=0,0,D12*F2)</f>
        <v>0</v>
      </c>
      <c r="B36" s="38">
        <f>F3*D36/12</f>
        <v>0</v>
      </c>
      <c r="C36" s="38">
        <f>IF(D32+D33+D34+D35+D36=0,0,F4*F1/12*D36/(D32+D33+D34+D35+D36))</f>
        <v>0</v>
      </c>
      <c r="D36" s="40">
        <f>IF(計算機!G12=3,12,0)</f>
        <v>0</v>
      </c>
      <c r="E36" s="38"/>
      <c r="F36" s="25"/>
      <c r="J36" s="26"/>
    </row>
    <row r="37" spans="1:11" x14ac:dyDescent="0.15">
      <c r="A37" s="32">
        <f>ROUNDDOWN(SUM(A32:A36),0)</f>
        <v>0</v>
      </c>
      <c r="B37" s="32">
        <f>SUM(B32:B36)</f>
        <v>0</v>
      </c>
      <c r="C37" s="32">
        <f>SUM(C32:C36)</f>
        <v>0</v>
      </c>
      <c r="D37" s="38">
        <f>SUM(A37:C37)</f>
        <v>0</v>
      </c>
      <c r="E37" s="1" t="str">
        <f>IF(F5&gt;A37+B37+C37,"OK","NG")</f>
        <v>OK</v>
      </c>
      <c r="F37" s="41">
        <f>IF(D37&gt;F5,F5,ROUNDDOWN(D37,-2))</f>
        <v>0</v>
      </c>
      <c r="G37" s="41">
        <f>D37-F37</f>
        <v>0</v>
      </c>
      <c r="H37" s="128" t="s">
        <v>38</v>
      </c>
      <c r="I37" s="128"/>
      <c r="J37" s="22">
        <f>ROUNDDOWN(SUM(E32:E36),-2)</f>
        <v>0</v>
      </c>
    </row>
    <row r="38" spans="1:11" x14ac:dyDescent="0.15">
      <c r="E38" s="24"/>
    </row>
  </sheetData>
  <mergeCells count="5">
    <mergeCell ref="I21:J21"/>
    <mergeCell ref="H29:I29"/>
    <mergeCell ref="H37:I37"/>
    <mergeCell ref="H1:I1"/>
    <mergeCell ref="H15:I15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15"/>
  <sheetViews>
    <sheetView topLeftCell="G1" workbookViewId="0">
      <selection activeCell="B6" sqref="B6"/>
    </sheetView>
  </sheetViews>
  <sheetFormatPr defaultRowHeight="12" x14ac:dyDescent="0.15"/>
  <cols>
    <col min="1" max="1" width="3.75" style="11" bestFit="1" customWidth="1"/>
    <col min="2" max="2" width="9.75" style="12" bestFit="1" customWidth="1"/>
    <col min="3" max="3" width="6.375" style="11" bestFit="1" customWidth="1"/>
    <col min="4" max="5" width="7.875" style="11" bestFit="1" customWidth="1"/>
    <col min="6" max="6" width="6.375" style="11" bestFit="1" customWidth="1"/>
    <col min="7" max="8" width="7" style="11" bestFit="1" customWidth="1"/>
    <col min="9" max="9" width="6.375" style="13" bestFit="1" customWidth="1"/>
    <col min="10" max="11" width="7" style="11" bestFit="1" customWidth="1"/>
    <col min="12" max="14" width="8.75" style="11" bestFit="1" customWidth="1"/>
    <col min="15" max="15" width="6.125" style="11" bestFit="1" customWidth="1"/>
    <col min="16" max="22" width="9" style="11"/>
    <col min="23" max="23" width="15.375" style="11" customWidth="1"/>
    <col min="24" max="24" width="3.75" style="11" customWidth="1"/>
    <col min="25" max="16384" width="9" style="11"/>
  </cols>
  <sheetData>
    <row r="1" spans="1:24" s="6" customFormat="1" x14ac:dyDescent="0.15">
      <c r="A1" s="2" t="s">
        <v>24</v>
      </c>
      <c r="B1" s="2" t="s">
        <v>11</v>
      </c>
      <c r="C1" s="3" t="s">
        <v>12</v>
      </c>
      <c r="D1" s="3" t="s">
        <v>13</v>
      </c>
      <c r="E1" s="3" t="s">
        <v>14</v>
      </c>
      <c r="F1" s="4" t="s">
        <v>15</v>
      </c>
      <c r="G1" s="3" t="s">
        <v>16</v>
      </c>
      <c r="H1" s="3" t="s">
        <v>17</v>
      </c>
      <c r="I1" s="4" t="s">
        <v>18</v>
      </c>
      <c r="J1" s="3" t="s">
        <v>19</v>
      </c>
      <c r="K1" s="3" t="s">
        <v>20</v>
      </c>
      <c r="L1" s="3" t="s">
        <v>21</v>
      </c>
      <c r="M1" s="5" t="s">
        <v>22</v>
      </c>
      <c r="N1" s="5" t="s">
        <v>23</v>
      </c>
      <c r="O1" s="2" t="s">
        <v>32</v>
      </c>
      <c r="P1" s="2" t="s">
        <v>62</v>
      </c>
      <c r="Q1" s="2" t="s">
        <v>63</v>
      </c>
      <c r="R1" s="2" t="s">
        <v>64</v>
      </c>
      <c r="S1" s="2" t="s">
        <v>70</v>
      </c>
      <c r="T1" s="2" t="s">
        <v>71</v>
      </c>
      <c r="U1" s="2" t="s">
        <v>72</v>
      </c>
      <c r="V1" s="2" t="s">
        <v>73</v>
      </c>
      <c r="W1" s="67" t="s">
        <v>43</v>
      </c>
      <c r="X1" s="2"/>
    </row>
    <row r="2" spans="1:24" x14ac:dyDescent="0.15">
      <c r="A2" s="7">
        <v>1</v>
      </c>
      <c r="B2" s="75">
        <v>7</v>
      </c>
      <c r="C2" s="84">
        <v>7.9000000000000001E-2</v>
      </c>
      <c r="D2" s="73">
        <v>28000</v>
      </c>
      <c r="E2" s="73">
        <v>27000</v>
      </c>
      <c r="F2" s="98">
        <v>2.1999999999999999E-2</v>
      </c>
      <c r="G2" s="73">
        <v>6000</v>
      </c>
      <c r="H2" s="73">
        <v>4500</v>
      </c>
      <c r="I2" s="98">
        <v>1.9E-2</v>
      </c>
      <c r="J2" s="73">
        <v>8000</v>
      </c>
      <c r="K2" s="73">
        <v>4500</v>
      </c>
      <c r="L2" s="73">
        <v>660000</v>
      </c>
      <c r="M2" s="73">
        <v>260000</v>
      </c>
      <c r="N2" s="73">
        <v>170000</v>
      </c>
      <c r="O2" s="74">
        <v>12</v>
      </c>
      <c r="P2" s="7">
        <v>430000</v>
      </c>
      <c r="Q2" s="7">
        <v>305000</v>
      </c>
      <c r="R2" s="7">
        <v>560000</v>
      </c>
      <c r="S2" s="7">
        <v>430000</v>
      </c>
      <c r="T2" s="7">
        <v>290000</v>
      </c>
      <c r="U2" s="7">
        <v>150000</v>
      </c>
      <c r="V2" s="7">
        <v>0</v>
      </c>
      <c r="W2" s="68" t="s">
        <v>44</v>
      </c>
      <c r="X2" s="7">
        <v>1</v>
      </c>
    </row>
    <row r="3" spans="1:24" x14ac:dyDescent="0.15">
      <c r="A3" s="7">
        <v>2</v>
      </c>
      <c r="B3" s="8"/>
      <c r="C3" s="9"/>
      <c r="D3" s="10"/>
      <c r="E3" s="10"/>
      <c r="F3" s="9"/>
      <c r="G3" s="10"/>
      <c r="H3" s="10"/>
      <c r="I3" s="9"/>
      <c r="J3" s="10"/>
      <c r="K3" s="10"/>
      <c r="L3" s="10"/>
      <c r="M3" s="10"/>
      <c r="N3" s="10"/>
      <c r="O3" s="16"/>
      <c r="P3" s="7"/>
      <c r="Q3" s="7"/>
      <c r="R3" s="7"/>
      <c r="S3" s="7"/>
      <c r="T3" s="7"/>
      <c r="U3" s="7"/>
      <c r="V3" s="7"/>
      <c r="W3" s="68" t="s">
        <v>45</v>
      </c>
      <c r="X3" s="7">
        <v>2</v>
      </c>
    </row>
    <row r="4" spans="1:24" x14ac:dyDescent="0.15">
      <c r="A4" s="7">
        <v>3</v>
      </c>
      <c r="B4" s="8"/>
      <c r="C4" s="9"/>
      <c r="D4" s="10"/>
      <c r="E4" s="10"/>
      <c r="F4" s="9"/>
      <c r="G4" s="10"/>
      <c r="H4" s="10"/>
      <c r="I4" s="9"/>
      <c r="J4" s="10"/>
      <c r="K4" s="10"/>
      <c r="L4" s="10"/>
      <c r="M4" s="10"/>
      <c r="N4" s="10"/>
      <c r="O4" s="16"/>
      <c r="P4" s="7"/>
      <c r="Q4" s="7"/>
      <c r="R4" s="7"/>
      <c r="S4" s="7"/>
      <c r="T4" s="7"/>
      <c r="U4" s="7"/>
      <c r="V4" s="7"/>
      <c r="W4" s="68" t="s">
        <v>46</v>
      </c>
      <c r="X4" s="7">
        <v>3</v>
      </c>
    </row>
    <row r="5" spans="1:24" x14ac:dyDescent="0.15">
      <c r="A5" s="7">
        <v>4</v>
      </c>
      <c r="B5" s="8"/>
      <c r="C5" s="9"/>
      <c r="D5" s="10"/>
      <c r="E5" s="10"/>
      <c r="F5" s="9"/>
      <c r="G5" s="10"/>
      <c r="H5" s="10"/>
      <c r="I5" s="9"/>
      <c r="J5" s="10"/>
      <c r="K5" s="10"/>
      <c r="L5" s="10"/>
      <c r="M5" s="10"/>
      <c r="N5" s="10"/>
      <c r="O5" s="16"/>
      <c r="P5" s="7"/>
      <c r="Q5" s="7"/>
      <c r="R5" s="7"/>
      <c r="S5" s="7"/>
      <c r="T5" s="7"/>
      <c r="U5" s="7"/>
      <c r="V5" s="7"/>
      <c r="W5" s="68" t="s">
        <v>47</v>
      </c>
      <c r="X5" s="7">
        <v>4</v>
      </c>
    </row>
    <row r="6" spans="1:24" x14ac:dyDescent="0.15">
      <c r="A6" s="7">
        <v>5</v>
      </c>
      <c r="B6" s="8"/>
      <c r="C6" s="9"/>
      <c r="D6" s="10"/>
      <c r="E6" s="10"/>
      <c r="F6" s="9"/>
      <c r="G6" s="10"/>
      <c r="H6" s="10"/>
      <c r="I6" s="9"/>
      <c r="J6" s="10"/>
      <c r="K6" s="10"/>
      <c r="L6" s="10"/>
      <c r="M6" s="10"/>
      <c r="N6" s="10"/>
      <c r="O6" s="16"/>
      <c r="P6" s="7"/>
      <c r="Q6" s="7"/>
      <c r="R6" s="7"/>
      <c r="S6" s="7"/>
      <c r="T6" s="7"/>
      <c r="U6" s="7"/>
      <c r="V6" s="7"/>
      <c r="W6" s="7" t="s">
        <v>75</v>
      </c>
      <c r="X6" s="7">
        <v>1</v>
      </c>
    </row>
    <row r="7" spans="1:24" x14ac:dyDescent="0.15">
      <c r="A7" s="7">
        <v>6</v>
      </c>
      <c r="B7" s="8"/>
      <c r="C7" s="21"/>
      <c r="D7" s="15"/>
      <c r="E7" s="15"/>
      <c r="F7" s="21"/>
      <c r="G7" s="15"/>
      <c r="H7" s="15"/>
      <c r="I7" s="21"/>
      <c r="J7" s="15"/>
      <c r="K7" s="15"/>
      <c r="L7" s="15"/>
      <c r="M7" s="15"/>
      <c r="N7" s="15"/>
      <c r="O7" s="16"/>
      <c r="P7" s="7"/>
      <c r="Q7" s="7"/>
      <c r="R7" s="7"/>
      <c r="S7" s="7"/>
      <c r="T7" s="7"/>
      <c r="U7" s="7"/>
      <c r="V7" s="7"/>
      <c r="W7" s="7" t="s">
        <v>76</v>
      </c>
      <c r="X7" s="7">
        <v>5</v>
      </c>
    </row>
    <row r="8" spans="1:24" x14ac:dyDescent="0.15">
      <c r="A8" s="7">
        <v>7</v>
      </c>
      <c r="B8" s="8"/>
      <c r="C8" s="21"/>
      <c r="D8" s="15"/>
      <c r="E8" s="15"/>
      <c r="F8" s="21"/>
      <c r="G8" s="15"/>
      <c r="H8" s="15"/>
      <c r="I8" s="21"/>
      <c r="J8" s="15"/>
      <c r="K8" s="15"/>
      <c r="L8" s="15"/>
      <c r="M8" s="15"/>
      <c r="N8" s="15"/>
      <c r="O8" s="16"/>
      <c r="P8" s="7"/>
      <c r="Q8" s="7"/>
      <c r="R8" s="7"/>
      <c r="S8" s="7"/>
      <c r="T8" s="7"/>
      <c r="U8" s="7"/>
      <c r="V8" s="7"/>
      <c r="W8" s="7" t="s">
        <v>45</v>
      </c>
      <c r="X8" s="7">
        <v>2</v>
      </c>
    </row>
    <row r="9" spans="1:24" x14ac:dyDescent="0.15">
      <c r="A9" s="7">
        <v>8</v>
      </c>
      <c r="B9" s="8"/>
      <c r="C9" s="21"/>
      <c r="D9" s="15"/>
      <c r="E9" s="15"/>
      <c r="F9" s="21"/>
      <c r="G9" s="15"/>
      <c r="H9" s="15"/>
      <c r="I9" s="21"/>
      <c r="J9" s="15"/>
      <c r="K9" s="15"/>
      <c r="L9" s="15"/>
      <c r="M9" s="15"/>
      <c r="N9" s="15"/>
      <c r="O9" s="16"/>
      <c r="P9" s="7"/>
      <c r="Q9" s="7"/>
      <c r="R9" s="7"/>
      <c r="S9" s="7"/>
      <c r="T9" s="7"/>
      <c r="U9" s="7"/>
      <c r="V9" s="7"/>
      <c r="W9" s="7" t="s">
        <v>46</v>
      </c>
      <c r="X9" s="7">
        <v>3</v>
      </c>
    </row>
    <row r="10" spans="1:24" x14ac:dyDescent="0.15">
      <c r="A10" s="7">
        <v>9</v>
      </c>
      <c r="B10" s="8"/>
      <c r="C10" s="21"/>
      <c r="D10" s="15"/>
      <c r="E10" s="15"/>
      <c r="F10" s="21"/>
      <c r="G10" s="15"/>
      <c r="H10" s="15"/>
      <c r="I10" s="21"/>
      <c r="J10" s="15"/>
      <c r="K10" s="15"/>
      <c r="L10" s="15"/>
      <c r="M10" s="15"/>
      <c r="N10" s="15"/>
      <c r="O10" s="16"/>
      <c r="P10" s="7">
        <v>330000</v>
      </c>
      <c r="Q10" s="7">
        <v>265000</v>
      </c>
      <c r="R10" s="7">
        <v>480000</v>
      </c>
      <c r="S10" s="7"/>
      <c r="T10" s="7"/>
      <c r="U10" s="7"/>
      <c r="V10" s="7"/>
      <c r="W10" s="7" t="s">
        <v>47</v>
      </c>
      <c r="X10" s="7">
        <v>4</v>
      </c>
    </row>
    <row r="11" spans="1:24" x14ac:dyDescent="0.15">
      <c r="A11" s="7">
        <v>10</v>
      </c>
      <c r="B11" s="8"/>
      <c r="C11" s="21"/>
      <c r="D11" s="15"/>
      <c r="E11" s="15"/>
      <c r="F11" s="21"/>
      <c r="G11" s="15"/>
      <c r="H11" s="15"/>
      <c r="I11" s="21"/>
      <c r="J11" s="15"/>
      <c r="K11" s="15"/>
      <c r="L11" s="15"/>
      <c r="M11" s="15"/>
      <c r="N11" s="15"/>
      <c r="O11" s="16"/>
      <c r="P11" s="7">
        <v>330000</v>
      </c>
      <c r="Q11" s="7">
        <v>270000</v>
      </c>
      <c r="R11" s="7">
        <v>490000</v>
      </c>
      <c r="S11" s="7"/>
      <c r="T11" s="7"/>
      <c r="U11" s="7"/>
      <c r="V11" s="7"/>
    </row>
    <row r="12" spans="1:24" s="69" customFormat="1" x14ac:dyDescent="0.15">
      <c r="A12" s="70">
        <v>11</v>
      </c>
      <c r="B12" s="71"/>
      <c r="C12" s="72"/>
      <c r="D12" s="73"/>
      <c r="E12" s="73"/>
      <c r="F12" s="72"/>
      <c r="G12" s="73"/>
      <c r="H12" s="73"/>
      <c r="I12" s="72"/>
      <c r="J12" s="73"/>
      <c r="K12" s="73"/>
      <c r="L12" s="73"/>
      <c r="M12" s="73"/>
      <c r="N12" s="73"/>
      <c r="O12" s="74"/>
      <c r="P12" s="70">
        <v>330000</v>
      </c>
      <c r="Q12" s="70">
        <v>275000</v>
      </c>
      <c r="R12" s="70">
        <v>500000</v>
      </c>
      <c r="S12" s="70"/>
      <c r="T12" s="70"/>
      <c r="U12" s="70"/>
      <c r="V12" s="70"/>
    </row>
    <row r="13" spans="1:24" x14ac:dyDescent="0.15">
      <c r="A13" s="78">
        <v>12</v>
      </c>
      <c r="B13" s="79"/>
      <c r="C13" s="80"/>
      <c r="D13" s="81"/>
      <c r="E13" s="81"/>
      <c r="F13" s="80"/>
      <c r="G13" s="81"/>
      <c r="H13" s="81"/>
      <c r="I13" s="80"/>
      <c r="J13" s="81"/>
      <c r="K13" s="81"/>
      <c r="L13" s="81"/>
      <c r="M13" s="81"/>
      <c r="N13" s="81"/>
      <c r="O13" s="82"/>
      <c r="P13" s="78">
        <v>330000</v>
      </c>
      <c r="Q13" s="78">
        <v>280000</v>
      </c>
      <c r="R13" s="78">
        <v>510000</v>
      </c>
      <c r="S13" s="7"/>
      <c r="T13" s="7"/>
      <c r="U13" s="7"/>
      <c r="V13" s="7"/>
    </row>
    <row r="14" spans="1:24" x14ac:dyDescent="0.15">
      <c r="A14" s="70">
        <v>13</v>
      </c>
      <c r="B14" s="97"/>
      <c r="C14" s="72"/>
      <c r="D14" s="73"/>
      <c r="E14" s="73"/>
      <c r="F14" s="72"/>
      <c r="G14" s="73"/>
      <c r="H14" s="73"/>
      <c r="I14" s="72"/>
      <c r="J14" s="73"/>
      <c r="K14" s="73"/>
      <c r="L14" s="73"/>
      <c r="M14" s="73"/>
      <c r="N14" s="73"/>
      <c r="O14" s="74"/>
      <c r="P14" s="70">
        <v>330000</v>
      </c>
      <c r="Q14" s="70">
        <v>285000</v>
      </c>
      <c r="R14" s="70">
        <v>520000</v>
      </c>
      <c r="S14" s="7"/>
      <c r="T14" s="7"/>
      <c r="U14" s="7"/>
      <c r="V14" s="7"/>
    </row>
    <row r="15" spans="1:24" x14ac:dyDescent="0.15">
      <c r="A15" s="70">
        <v>14</v>
      </c>
      <c r="B15" s="97"/>
      <c r="C15" s="98"/>
      <c r="D15" s="73"/>
      <c r="E15" s="73"/>
      <c r="F15" s="98"/>
      <c r="G15" s="73"/>
      <c r="H15" s="73"/>
      <c r="I15" s="98"/>
      <c r="J15" s="73"/>
      <c r="K15" s="73"/>
      <c r="L15" s="73"/>
      <c r="M15" s="73"/>
      <c r="N15" s="73"/>
      <c r="O15" s="74"/>
      <c r="P15" s="7">
        <v>330000</v>
      </c>
      <c r="Q15" s="7">
        <v>285000</v>
      </c>
      <c r="R15" s="7">
        <v>520000</v>
      </c>
      <c r="S15" s="7"/>
      <c r="T15" s="7"/>
      <c r="U15" s="7"/>
      <c r="V15" s="7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試算表</vt:lpstr>
      <vt:lpstr>計算機</vt:lpstr>
      <vt:lpstr>税率</vt:lpstr>
      <vt:lpstr>計算機!Print_Area</vt:lpstr>
      <vt:lpstr>加入区分１</vt:lpstr>
      <vt:lpstr>年度</vt:lpstr>
      <vt:lpstr>年齢区分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FsitNEOAdmin</dc:creator>
  <cp:lastModifiedBy>Windows ユーザー</cp:lastModifiedBy>
  <cp:lastPrinted>2025-03-28T00:05:44Z</cp:lastPrinted>
  <dcterms:created xsi:type="dcterms:W3CDTF">2011-12-01T00:52:36Z</dcterms:created>
  <dcterms:modified xsi:type="dcterms:W3CDTF">2025-03-28T02:33:09Z</dcterms:modified>
</cp:coreProperties>
</file>